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ENG04\Desktop\SERVIÇOS\PAVIMENTAÇÃO DIVERSAS VIAS\REV01\PDF\ASSINADOS\"/>
    </mc:Choice>
  </mc:AlternateContent>
  <xr:revisionPtr revIDLastSave="0" documentId="13_ncr:1_{00B32A4B-F146-47DE-B4FA-3CC73FB9F62E}" xr6:coauthVersionLast="47" xr6:coauthVersionMax="47" xr10:uidLastSave="{00000000-0000-0000-0000-000000000000}"/>
  <bookViews>
    <workbookView xWindow="-120" yWindow="-120" windowWidth="29040" windowHeight="15720" tabRatio="614" firstSheet="1" activeTab="2" xr2:uid="{00000000-000D-0000-FFFF-FFFF00000000}"/>
  </bookViews>
  <sheets>
    <sheet name="DADOS" sheetId="15" state="hidden" r:id="rId1"/>
    <sheet name="BDI" sheetId="12" r:id="rId2"/>
    <sheet name="P. O." sheetId="13" r:id="rId3"/>
    <sheet name="MEM CALCULO" sheetId="16" r:id="rId4"/>
    <sheet name="CRONO. F-F" sheetId="2" r:id="rId5"/>
  </sheets>
  <definedNames>
    <definedName name="_xlnm._FilterDatabase" localSheetId="1" hidden="1">BDI!$A$7:$C$7</definedName>
    <definedName name="_xlnm._FilterDatabase" localSheetId="3" hidden="1">'MEM CALCULO'!$G$78:$G$81</definedName>
    <definedName name="_xlnm._FilterDatabase" localSheetId="2" hidden="1">'P. O.'!$G$79:$G$82</definedName>
    <definedName name="_xlnm.Print_Area" localSheetId="1">BDI!$A$1:$C$53</definedName>
    <definedName name="_xlnm.Print_Area" localSheetId="4">'CRONO. F-F'!$A$1:$M$42</definedName>
    <definedName name="_xlnm.Print_Area" localSheetId="3">'MEM CALCULO'!$B$1:$J$81</definedName>
    <definedName name="_xlnm.Print_Area" localSheetId="2">'P. O.'!$B$1:$J$82</definedName>
    <definedName name="_xlnm.Print_Titles" localSheetId="3">'MEM CALCULO'!$10:$10</definedName>
    <definedName name="_xlnm.Print_Titles" localSheetId="2">'P. O.'!$10:$10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2" l="1"/>
  <c r="D37" i="2"/>
  <c r="C37" i="2"/>
  <c r="E34" i="2"/>
  <c r="D34" i="2"/>
  <c r="C34" i="2"/>
  <c r="B33" i="2"/>
  <c r="G75" i="16"/>
  <c r="G72" i="16"/>
  <c r="G71" i="16"/>
  <c r="G73" i="16" s="1"/>
  <c r="G74" i="16" s="1"/>
  <c r="G70" i="16"/>
  <c r="G68" i="16"/>
  <c r="G69" i="16" s="1"/>
  <c r="G75" i="13"/>
  <c r="G73" i="13"/>
  <c r="G74" i="13" s="1"/>
  <c r="G72" i="13"/>
  <c r="G71" i="13"/>
  <c r="G69" i="13"/>
  <c r="G68" i="13"/>
  <c r="G70" i="13" s="1"/>
  <c r="B30" i="2"/>
  <c r="G65" i="16"/>
  <c r="G64" i="16"/>
  <c r="G61" i="16"/>
  <c r="G60" i="16"/>
  <c r="G62" i="16" s="1"/>
  <c r="G63" i="16" s="1"/>
  <c r="G57" i="16"/>
  <c r="G59" i="16" s="1"/>
  <c r="G14" i="16"/>
  <c r="G14" i="13"/>
  <c r="G65" i="13"/>
  <c r="G64" i="13"/>
  <c r="G58" i="16" l="1"/>
  <c r="G61" i="13" l="1"/>
  <c r="G60" i="13"/>
  <c r="G62" i="13" s="1"/>
  <c r="G63" i="13" s="1"/>
  <c r="G57" i="13"/>
  <c r="G59" i="13" s="1"/>
  <c r="B27" i="2"/>
  <c r="B24" i="2"/>
  <c r="B21" i="2"/>
  <c r="B18" i="2"/>
  <c r="G54" i="16"/>
  <c r="G51" i="16"/>
  <c r="G50" i="16"/>
  <c r="G52" i="16" s="1"/>
  <c r="G53" i="16" s="1"/>
  <c r="G47" i="16"/>
  <c r="G48" i="16" s="1"/>
  <c r="G44" i="16"/>
  <c r="G41" i="16"/>
  <c r="G40" i="16"/>
  <c r="G37" i="16"/>
  <c r="G39" i="16" s="1"/>
  <c r="G34" i="16"/>
  <c r="G31" i="16"/>
  <c r="G30" i="16"/>
  <c r="G32" i="16" s="1"/>
  <c r="G33" i="16" s="1"/>
  <c r="G27" i="16"/>
  <c r="G28" i="16" s="1"/>
  <c r="G24" i="16"/>
  <c r="G21" i="16"/>
  <c r="G20" i="16"/>
  <c r="G22" i="16" s="1"/>
  <c r="G23" i="16" s="1"/>
  <c r="G17" i="16"/>
  <c r="G19" i="16" s="1"/>
  <c r="G81" i="16" a="1"/>
  <c r="G81" i="16" s="1"/>
  <c r="G80" i="16"/>
  <c r="B80" i="16" a="1"/>
  <c r="B80" i="16" s="1"/>
  <c r="B79" i="16" a="1"/>
  <c r="B79" i="16" s="1"/>
  <c r="B78" i="16" a="1"/>
  <c r="B78" i="16" s="1"/>
  <c r="I6" i="16" a="1"/>
  <c r="I6" i="16" s="1"/>
  <c r="G54" i="13"/>
  <c r="G44" i="13"/>
  <c r="G34" i="13"/>
  <c r="G24" i="13"/>
  <c r="G17" i="13"/>
  <c r="G19" i="13" s="1"/>
  <c r="B15" i="2"/>
  <c r="B12" i="2"/>
  <c r="G51" i="13"/>
  <c r="G50" i="13"/>
  <c r="G52" i="13" s="1"/>
  <c r="G47" i="13"/>
  <c r="G48" i="13" s="1"/>
  <c r="G41" i="13"/>
  <c r="G40" i="13"/>
  <c r="G37" i="13"/>
  <c r="G39" i="13" s="1"/>
  <c r="G31" i="13"/>
  <c r="G30" i="13"/>
  <c r="G32" i="13" s="1"/>
  <c r="G27" i="13"/>
  <c r="G29" i="13" s="1"/>
  <c r="G21" i="13"/>
  <c r="G20" i="13"/>
  <c r="G22" i="13" s="1"/>
  <c r="G42" i="13" l="1"/>
  <c r="G43" i="13" s="1"/>
  <c r="G42" i="16"/>
  <c r="G43" i="16" s="1"/>
  <c r="G49" i="16"/>
  <c r="G29" i="16"/>
  <c r="G38" i="16"/>
  <c r="G58" i="13"/>
  <c r="G18" i="16"/>
  <c r="G53" i="13"/>
  <c r="G23" i="13"/>
  <c r="G33" i="13"/>
  <c r="G49" i="13"/>
  <c r="G38" i="13"/>
  <c r="G28" i="13"/>
  <c r="G18" i="13"/>
  <c r="B79" i="13" l="1" a="1"/>
  <c r="B79" i="13" s="1"/>
  <c r="A39" i="2" s="1"/>
  <c r="J40" i="2"/>
  <c r="A51" i="12"/>
  <c r="G81" i="13"/>
  <c r="G82" i="13" a="1"/>
  <c r="G82" i="13" s="1"/>
  <c r="L4" i="2"/>
  <c r="C12" i="12"/>
  <c r="AI9" i="15" s="1"/>
  <c r="I8" i="2"/>
  <c r="I5" i="2"/>
  <c r="I6" i="2"/>
  <c r="I4" i="2"/>
  <c r="A8" i="2"/>
  <c r="A6" i="2"/>
  <c r="A4" i="2"/>
  <c r="C19" i="12"/>
  <c r="C17" i="12"/>
  <c r="C22" i="12"/>
  <c r="C20" i="12"/>
  <c r="I6" i="13" a="1"/>
  <c r="I6" i="13" s="1"/>
  <c r="L6" i="2" s="1"/>
  <c r="A34" i="12"/>
  <c r="A26" i="12"/>
  <c r="C24" i="12"/>
  <c r="C21" i="12"/>
  <c r="C18" i="12"/>
  <c r="B81" i="13" a="1"/>
  <c r="B81" i="13" s="1"/>
  <c r="A41" i="2" s="1"/>
  <c r="B80" i="13" a="1"/>
  <c r="B80" i="13" s="1"/>
  <c r="A40" i="2" s="1"/>
  <c r="J42" i="2" l="1"/>
  <c r="J41" i="2"/>
  <c r="A52" i="12"/>
  <c r="A53" i="12"/>
  <c r="A43" i="12"/>
  <c r="A44" i="12"/>
  <c r="A45" i="12"/>
  <c r="A37" i="12"/>
  <c r="P9" i="15"/>
  <c r="Z9" i="15"/>
  <c r="V9" i="15"/>
  <c r="T9" i="15"/>
  <c r="AD9" i="15"/>
  <c r="U9" i="15"/>
  <c r="Q9" i="15"/>
  <c r="AJ9" i="15"/>
  <c r="O9" i="15"/>
  <c r="L9" i="15"/>
  <c r="AK9" i="15"/>
  <c r="K9" i="15"/>
  <c r="AE9" i="15"/>
  <c r="AA9" i="15"/>
  <c r="J9" i="15"/>
  <c r="AF9" i="15"/>
  <c r="Y9" i="15"/>
  <c r="C23" i="12" l="1"/>
  <c r="C26" i="12" l="1"/>
  <c r="I8" i="16" s="1"/>
  <c r="I8" i="13" l="1"/>
  <c r="I74" i="13" l="1"/>
  <c r="J74" i="13" s="1"/>
  <c r="I73" i="13"/>
  <c r="J73" i="13" s="1"/>
  <c r="I69" i="13"/>
  <c r="J69" i="13" s="1"/>
  <c r="I68" i="13"/>
  <c r="J68" i="13" s="1"/>
  <c r="I65" i="13"/>
  <c r="J65" i="13" s="1"/>
  <c r="I75" i="13"/>
  <c r="J75" i="13" s="1"/>
  <c r="I70" i="13"/>
  <c r="J70" i="13" s="1"/>
  <c r="I67" i="13"/>
  <c r="J67" i="13" s="1"/>
  <c r="I72" i="13"/>
  <c r="J72" i="13" s="1"/>
  <c r="I71" i="13"/>
  <c r="J71" i="13" s="1"/>
  <c r="I64" i="13"/>
  <c r="J64" i="13" s="1"/>
  <c r="I60" i="13"/>
  <c r="J60" i="13" s="1"/>
  <c r="I56" i="13"/>
  <c r="J56" i="13" s="1"/>
  <c r="I63" i="13"/>
  <c r="J63" i="13" s="1"/>
  <c r="I59" i="13"/>
  <c r="J59" i="13" s="1"/>
  <c r="I62" i="13"/>
  <c r="J62" i="13" s="1"/>
  <c r="I58" i="13"/>
  <c r="J58" i="13" s="1"/>
  <c r="I61" i="13"/>
  <c r="J61" i="13" s="1"/>
  <c r="I57" i="13"/>
  <c r="J57" i="13" s="1"/>
  <c r="I44" i="13"/>
  <c r="J44" i="13" s="1"/>
  <c r="I54" i="13"/>
  <c r="J54" i="13" s="1"/>
  <c r="I34" i="13"/>
  <c r="J34" i="13" s="1"/>
  <c r="I24" i="13"/>
  <c r="J24" i="13" s="1"/>
  <c r="I53" i="13"/>
  <c r="J53" i="13" s="1"/>
  <c r="I50" i="13"/>
  <c r="J50" i="13" s="1"/>
  <c r="I52" i="13"/>
  <c r="J52" i="13" s="1"/>
  <c r="I49" i="13"/>
  <c r="J49" i="13" s="1"/>
  <c r="I46" i="13"/>
  <c r="J46" i="13" s="1"/>
  <c r="I51" i="13"/>
  <c r="J51" i="13" s="1"/>
  <c r="I48" i="13"/>
  <c r="J48" i="13" s="1"/>
  <c r="I47" i="13"/>
  <c r="J47" i="13" s="1"/>
  <c r="I42" i="13"/>
  <c r="J42" i="13" s="1"/>
  <c r="I39" i="13"/>
  <c r="J39" i="13" s="1"/>
  <c r="I38" i="13"/>
  <c r="J38" i="13" s="1"/>
  <c r="I43" i="13"/>
  <c r="J43" i="13" s="1"/>
  <c r="I40" i="13"/>
  <c r="J40" i="13" s="1"/>
  <c r="I36" i="13"/>
  <c r="J36" i="13" s="1"/>
  <c r="I41" i="13"/>
  <c r="J41" i="13" s="1"/>
  <c r="I37" i="13"/>
  <c r="J37" i="13" s="1"/>
  <c r="I27" i="13"/>
  <c r="J27" i="13" s="1"/>
  <c r="I32" i="13"/>
  <c r="J32" i="13" s="1"/>
  <c r="I29" i="13"/>
  <c r="J29" i="13" s="1"/>
  <c r="I26" i="13"/>
  <c r="J26" i="13" s="1"/>
  <c r="I31" i="13"/>
  <c r="J31" i="13" s="1"/>
  <c r="I28" i="13"/>
  <c r="J28" i="13" s="1"/>
  <c r="I33" i="13"/>
  <c r="J33" i="13" s="1"/>
  <c r="I30" i="13"/>
  <c r="J30" i="13" s="1"/>
  <c r="I16" i="13"/>
  <c r="J16" i="13" s="1"/>
  <c r="I21" i="13"/>
  <c r="J21" i="13" s="1"/>
  <c r="I18" i="13"/>
  <c r="J18" i="13" s="1"/>
  <c r="I23" i="13"/>
  <c r="J23" i="13" s="1"/>
  <c r="I20" i="13"/>
  <c r="J20" i="13" s="1"/>
  <c r="I17" i="13"/>
  <c r="J17" i="13" s="1"/>
  <c r="I22" i="13"/>
  <c r="J22" i="13" s="1"/>
  <c r="I19" i="13"/>
  <c r="J19" i="13" s="1"/>
  <c r="I12" i="13"/>
  <c r="J12" i="13" s="1"/>
  <c r="I14" i="13"/>
  <c r="J14" i="13" s="1"/>
  <c r="L8" i="2"/>
  <c r="J66" i="13" l="1"/>
  <c r="J77" i="13" s="1"/>
  <c r="J55" i="13"/>
  <c r="C31" i="2" s="1"/>
  <c r="J45" i="13"/>
  <c r="J35" i="13"/>
  <c r="C25" i="2" s="1"/>
  <c r="J25" i="13"/>
  <c r="C22" i="2" s="1"/>
  <c r="D22" i="2" s="1"/>
  <c r="J15" i="13"/>
  <c r="C19" i="2" s="1"/>
  <c r="J13" i="13"/>
  <c r="C16" i="2" s="1"/>
  <c r="J11" i="13"/>
  <c r="C13" i="2" s="1"/>
  <c r="D31" i="2" l="1"/>
  <c r="E31" i="2"/>
  <c r="C28" i="2"/>
  <c r="C33" i="2" s="1"/>
  <c r="E16" i="2"/>
  <c r="D19" i="2"/>
  <c r="E25" i="2"/>
  <c r="D25" i="2"/>
  <c r="D13" i="2"/>
  <c r="E22" i="2"/>
  <c r="E28" i="2" l="1"/>
  <c r="D28" i="2"/>
  <c r="C30" i="2"/>
  <c r="D16" i="2"/>
  <c r="C15" i="2"/>
  <c r="C36" i="2" l="1"/>
  <c r="C18" i="2"/>
  <c r="C21" i="2"/>
  <c r="C27" i="2"/>
  <c r="C12" i="2"/>
  <c r="C24" i="2"/>
  <c r="E36" i="2"/>
  <c r="D3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<sst xmlns="http://schemas.openxmlformats.org/spreadsheetml/2006/main" count="856" uniqueCount="331">
  <si>
    <t>ITEM</t>
  </si>
  <si>
    <t>CÓDIGO</t>
  </si>
  <si>
    <t>DESCRIÇÃO</t>
  </si>
  <si>
    <t>UND</t>
  </si>
  <si>
    <t>QTD.</t>
  </si>
  <si>
    <t>VALOR TOTAL COM BDI (R$)</t>
  </si>
  <si>
    <t>1.1</t>
  </si>
  <si>
    <t>2</t>
  </si>
  <si>
    <t>2.1</t>
  </si>
  <si>
    <t>3</t>
  </si>
  <si>
    <t>3.1</t>
  </si>
  <si>
    <t>3.2</t>
  </si>
  <si>
    <t>4</t>
  </si>
  <si>
    <t>4.1</t>
  </si>
  <si>
    <t>5</t>
  </si>
  <si>
    <t>CRONOGRAMA FÍSICO-FINANCEIRO</t>
  </si>
  <si>
    <t>FÍSICO / FINANCEIRO</t>
  </si>
  <si>
    <t>FÍSICO</t>
  </si>
  <si>
    <t>FINANCEIRO</t>
  </si>
  <si>
    <t>SERVIÇOS PRELIMINARES</t>
  </si>
  <si>
    <t>UNID</t>
  </si>
  <si>
    <t>M2</t>
  </si>
  <si>
    <t>M3</t>
  </si>
  <si>
    <t>M</t>
  </si>
  <si>
    <t>6</t>
  </si>
  <si>
    <t>Responsável Técnico</t>
  </si>
  <si>
    <t>Pedro Giovanni Vieira Vidal</t>
  </si>
  <si>
    <t>VALOR TOTAL:</t>
  </si>
  <si>
    <t>CUSTO UNIT. 
SEM BDI (R$)</t>
  </si>
  <si>
    <t>CUSTO UNIT.
COM BDI (R$)</t>
  </si>
  <si>
    <t>_________________________________________________________</t>
  </si>
  <si>
    <t xml:space="preserve">Conforme a legislação tributária municipal, o percentual da base de cálculo para o ISS: </t>
  </si>
  <si>
    <t>Sobre a base de cálculo, a alíquota do ISS (entre 2% e 5%):</t>
  </si>
  <si>
    <t>ITENS</t>
  </si>
  <si>
    <t>SIGLAS</t>
  </si>
  <si>
    <t>% Adotado</t>
  </si>
  <si>
    <t>1° Quartil</t>
  </si>
  <si>
    <t>2° Quartil</t>
  </si>
  <si>
    <t>Administração Central</t>
  </si>
  <si>
    <t>AC</t>
  </si>
  <si>
    <t>Seguro e Garantia</t>
  </si>
  <si>
    <t>SG</t>
  </si>
  <si>
    <t>Risco</t>
  </si>
  <si>
    <t>R</t>
  </si>
  <si>
    <t>Despesas Financeiras</t>
  </si>
  <si>
    <t>DF</t>
  </si>
  <si>
    <t>Lucro</t>
  </si>
  <si>
    <t>L</t>
  </si>
  <si>
    <t>Tributos (impostos COFINS 3%, e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</si>
  <si>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</si>
  <si>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</si>
  <si>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</si>
  <si>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</si>
  <si>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</si>
  <si>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FONTE</t>
  </si>
  <si>
    <t>PLANILHA ORÇAMENTÁRIA</t>
  </si>
  <si>
    <t xml:space="preserve">BDI: </t>
  </si>
  <si>
    <t xml:space="preserve">DATA: </t>
  </si>
  <si>
    <t xml:space="preserve">ISS: </t>
  </si>
  <si>
    <t>REGIME:</t>
  </si>
  <si>
    <t>SOLICITANTE:</t>
  </si>
  <si>
    <t xml:space="preserve">OBRA: </t>
  </si>
  <si>
    <t xml:space="preserve">ENDEREÇO: </t>
  </si>
  <si>
    <t>REFERÊNCIA:</t>
  </si>
  <si>
    <t>PREFEITURA MUNICIPAL DE ANDRELÂNDIA</t>
  </si>
  <si>
    <t>MUNICIPIO</t>
  </si>
  <si>
    <t>ALÉM PARAIBA</t>
  </si>
  <si>
    <t>MIGUEL BELMIRO DE SOUZA JÚNIOR</t>
  </si>
  <si>
    <t>ANDRELÂNDIA</t>
  </si>
  <si>
    <t>PREFEITO MUNICIPAL DE ANDRELÂNDIA</t>
  </si>
  <si>
    <t>FRANCISCO CARLOS RIVELLI</t>
  </si>
  <si>
    <t>ARACITABA</t>
  </si>
  <si>
    <t>PREFEITURA MUNICIPAL DE ARACITABA</t>
  </si>
  <si>
    <t>PREFEITA MUNICIPAL DE ARACITABA</t>
  </si>
  <si>
    <t>TEREZINHA MARCÍLIA DO AMARAL TOLEDO</t>
  </si>
  <si>
    <t>ASTOLFO DUTRA</t>
  </si>
  <si>
    <t>PREFEITURA MUNICIPAL DE ASTOLFO DUTRA</t>
  </si>
  <si>
    <t>PREFEITO MUNICIPAL DE ASTOLFO DUTRA</t>
  </si>
  <si>
    <t>BRUNO RIBEIRO</t>
  </si>
  <si>
    <t>BELMIRO BRAGA</t>
  </si>
  <si>
    <t>PREFEITURA MUNICIPAL DE BELMIRO BRAGA</t>
  </si>
  <si>
    <t>PREFEITO MUNICIPAL DE BELMIRO BRAGA</t>
  </si>
  <si>
    <t>JOSÉ PAULO DE OLIVEIRA FRANCO</t>
  </si>
  <si>
    <t>CATAGUASES</t>
  </si>
  <si>
    <t>PREFEITURA MUNICIPAL DE CATAGUASES</t>
  </si>
  <si>
    <t>PREFEITO MUNICIPAL DE CATAGUASES</t>
  </si>
  <si>
    <t>JOSÉ INÁCIO PEIXOTO PARREIRAS HENRIQUES</t>
  </si>
  <si>
    <t>ERVÁLIA</t>
  </si>
  <si>
    <t>PREFEITURA MUNICIPAL DE ERVÁLIA</t>
  </si>
  <si>
    <t>PREFEITO MUNICIPAL DE ERVÁLIA</t>
  </si>
  <si>
    <t>ELOÍSIO ANTÔNIO DE CASTRO</t>
  </si>
  <si>
    <t>JOSÉ MARIA NOVATO</t>
  </si>
  <si>
    <t>LIMA DUARTE</t>
  </si>
  <si>
    <t>PREFEITURA MUNICIPAL DE LIMA DUARTE</t>
  </si>
  <si>
    <t>PREFEITA MUNICIPAL DE LIMA DUARTE</t>
  </si>
  <si>
    <t>ELENICE PEREIRA DELGADO SANTELLI</t>
  </si>
  <si>
    <t>MATIAS BARBOSA</t>
  </si>
  <si>
    <t>PREFEITURA MUNICIPAL DE MATIAS BARBOSA</t>
  </si>
  <si>
    <t>PREFEITO MUNICIPAL DE MATIAS BARBOSA</t>
  </si>
  <si>
    <t>CARLOS ROBERTO MENDES LOPES</t>
  </si>
  <si>
    <t>OLIVEIRA FORTES</t>
  </si>
  <si>
    <t>PREFEITURA MUNICIPAL DE OLIVEIRA FORTES</t>
  </si>
  <si>
    <t>PREFEITO MUNICIPAL DE OLIVEIRA FORTES</t>
  </si>
  <si>
    <t>ANTÔNIO CARLOS DE OLIVEIRA</t>
  </si>
  <si>
    <t>PIRAPETINGA</t>
  </si>
  <si>
    <t>PREFEITURA MUNICIPAL DE PIRAPETINGA</t>
  </si>
  <si>
    <t>PREFEITO MUNICIPAL DE PIRAPETINGA</t>
  </si>
  <si>
    <t>LUIZ HENRIQUE PEREIRA DA COSTA</t>
  </si>
  <si>
    <t>RODEIRO</t>
  </si>
  <si>
    <t>PREFEITURA MUNICIPAL DE RODEIRO</t>
  </si>
  <si>
    <t>PREFEITO MUNICIPAL DE RODEIRO</t>
  </si>
  <si>
    <t>JOSÉ CARLOS FERREIRA</t>
  </si>
  <si>
    <t>SANTA BARBARA DO MONTE VERDE</t>
  </si>
  <si>
    <t>FÁBIO NOGUEIRA MACHADO</t>
  </si>
  <si>
    <t>SANTA RITA DE JACUTINGA</t>
  </si>
  <si>
    <t>PREFEITURA MUNICIPAL DE SANTA RITA DE JACUTINGA</t>
  </si>
  <si>
    <t>PREFEITO MUNICIPAL DE SANTA RITA DE JACUTINGA</t>
  </si>
  <si>
    <t>ALEXSANDRO LANDIM NOGUEIRA</t>
  </si>
  <si>
    <t>SANTOS DUMONT</t>
  </si>
  <si>
    <t>PREFEITURA MUNICIPAL DE SANTOS DUMONT</t>
  </si>
  <si>
    <t>PREFEITO MUNICIPAL DE SANTOS DUMONT</t>
  </si>
  <si>
    <t>VALENÇA</t>
  </si>
  <si>
    <t>PREFEITURA MUNICIPAL DE VALENÇA</t>
  </si>
  <si>
    <t>PREFEITO MUNICIPAL DE VALENÇA</t>
  </si>
  <si>
    <t>LUIZ FERNANDO FURTADO DA GRAÇA</t>
  </si>
  <si>
    <t>PREFEITURA</t>
  </si>
  <si>
    <t>PREFEITO (CARGO)</t>
  </si>
  <si>
    <t>NOME PREFEITO</t>
  </si>
  <si>
    <t>CONSTRUÇÃO DE EDIFÍCIOS</t>
  </si>
  <si>
    <t xml:space="preserve">CONSTRUÇÃO DE RODOVIAS E FERROVIAS </t>
  </si>
  <si>
    <t xml:space="preserve">CONSTRUÇÃO DE MANUNTEÇÃO DE ESTAÇÕES E REDES DE DISTRIBUIÇÃO DE ENERGIA ELÉTRICA </t>
  </si>
  <si>
    <t>OBRAS PORTUÁRIAS, MARÍTIMAS
E FLUVIAIS</t>
  </si>
  <si>
    <t xml:space="preserve">CONSTRUÇÃO DE REDES DE ABASTECIMENTO DE ÁGUA, COLETA DE ESGOTO E CONSTRUÇÕES CORRELATAS </t>
  </si>
  <si>
    <t>FORNECIMENTO DE MATERIAIS E EQUIPAMENTOS</t>
  </si>
  <si>
    <t>TIPO DE OBRA:</t>
  </si>
  <si>
    <t>NÃO DESONERADO</t>
  </si>
  <si>
    <t>DESONERADO</t>
  </si>
  <si>
    <t>Local</t>
  </si>
  <si>
    <t>NOME DO MUNICÍPIO PARA BDI</t>
  </si>
  <si>
    <t>Além Paraíba - MG</t>
  </si>
  <si>
    <t>Andrelândia - MG</t>
  </si>
  <si>
    <t>Aracitaba - MG</t>
  </si>
  <si>
    <t>Cataguases - MG</t>
  </si>
  <si>
    <t>Ervália - MG</t>
  </si>
  <si>
    <t>Pirapetinga - MG</t>
  </si>
  <si>
    <t>Rodeiro - MG</t>
  </si>
  <si>
    <t>Astolfo Dutra - MG</t>
  </si>
  <si>
    <t>Belmiro Braga - MG</t>
  </si>
  <si>
    <t>Ewbank da Câmara - MG</t>
  </si>
  <si>
    <t>Lima Duarte - MG</t>
  </si>
  <si>
    <t>Matias Barbosa - MG</t>
  </si>
  <si>
    <t>Oliveira Fortes - MG</t>
  </si>
  <si>
    <t>Santa Bárbara do Monte Verde - MG</t>
  </si>
  <si>
    <t>Santa Rita de Jacutinga - MG</t>
  </si>
  <si>
    <t>Santos Dumont - MG</t>
  </si>
  <si>
    <t>Valença - RJ</t>
  </si>
  <si>
    <t>Data</t>
  </si>
  <si>
    <t>SERVIÇO</t>
  </si>
  <si>
    <t>NÍVEL 1</t>
  </si>
  <si>
    <t>NÍVEL 2</t>
  </si>
  <si>
    <t>NÍVEL 3</t>
  </si>
  <si>
    <t>ADOTADO</t>
  </si>
  <si>
    <t>ED-28427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</si>
  <si>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</si>
  <si>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H</t>
  </si>
  <si>
    <t>SINAPI</t>
  </si>
  <si>
    <t>TXKM</t>
  </si>
  <si>
    <t>ED-51132</t>
  </si>
  <si>
    <t>CARGA MECÂNICA DE MATERIAL DE QUALQUER NATUREZA SOBRE CAMINHÃO, EXCLUSIVE TRANSPORTE</t>
  </si>
  <si>
    <t>BOM JARDIM DE MINAS</t>
  </si>
  <si>
    <t>PREFEITURA MUNICIPAL DE BOM JARDIM DE MINAS</t>
  </si>
  <si>
    <t>PREFEITO MUNICIPAL DE BOM JARDIM DE MINAS</t>
  </si>
  <si>
    <t>JOSÉ FRANCISCO MATOS E SILVA</t>
  </si>
  <si>
    <t>Bom Jardim de Minas - MG</t>
  </si>
  <si>
    <t xml:space="preserve">REFERÊNCIA: </t>
  </si>
  <si>
    <t>____________________________________________</t>
  </si>
  <si>
    <t>SICRO</t>
  </si>
  <si>
    <t>LISTA DE ENGENHEIROS</t>
  </si>
  <si>
    <t>CREA</t>
  </si>
  <si>
    <t>CREA-MG 351.037/D</t>
  </si>
  <si>
    <t>CREA-MG 216.289/D</t>
  </si>
  <si>
    <t>CREA-MG 59.552/D</t>
  </si>
  <si>
    <t>Reinaldo Brum de Souza</t>
  </si>
  <si>
    <t>Leonardo Gielo Rocha</t>
  </si>
  <si>
    <t>CREA/MG 284.850/D</t>
  </si>
  <si>
    <t>Naíra Gaudereto Laurindo</t>
  </si>
  <si>
    <t>CREA-MG 343.982/D</t>
  </si>
  <si>
    <t>Denealber Leite Oliveira</t>
  </si>
  <si>
    <t>EWBANK DA CÂMARA</t>
  </si>
  <si>
    <t>PREFEITURA MUNICIPAL DE EWBANK DA CÂMARA</t>
  </si>
  <si>
    <t>PREFEITO MUNICIPAL DE EWBANK DA CÂMARA</t>
  </si>
  <si>
    <t>ADMINISTRAÇÃO LOCAL DE OBRA</t>
  </si>
  <si>
    <t>PREFEITURA MUNICIPAL DE ALÉM PARAÍBA</t>
  </si>
  <si>
    <t>PREFEITO MUNICIPAL DE ALÉM PARAÍBA</t>
  </si>
  <si>
    <t>PREFEITURA MUNICIPAL DE SANTA BÁRBARA DO MONTE VERDE</t>
  </si>
  <si>
    <t>PREFEITO MUNICIPAL DE SANTA BÁRBARA DO MONTE VERDE</t>
  </si>
  <si>
    <t>TABULEIRO</t>
  </si>
  <si>
    <t>PREFEITURA MUNICIPAL DE TABULEIRO</t>
  </si>
  <si>
    <t>PREFEITO MUNICIPAL DE TABULEIRO</t>
  </si>
  <si>
    <t>Tabuleiro - MG</t>
  </si>
  <si>
    <t>AILTON FERRAZ</t>
  </si>
  <si>
    <t>SICOR</t>
  </si>
  <si>
    <t>3.3</t>
  </si>
  <si>
    <t>LIMPEZA DE SUPERFÍCIE COM JATO DE ALTA PRESSÃO, AF_04/2019</t>
  </si>
  <si>
    <t>TRANSPORTE COM CAMINHÃO TANQUE DE TRANSPORTE DE MATERIAL ASFÁLTICO DE 30000 L, EM VIA URBANA PAVIMENTADA, DMT ATÉ 30KM (UNIDADE: TXKM), AF_07/2020</t>
  </si>
  <si>
    <t>TRANSPORTE COM CAMINHÃO TANQUE DE TRANSPORTE DE MATERIAL ASFÁLTICO DE 30000 L, EM VIA URBANA PAVIMENTADA, ADICIONAL PARA DMT EXCEDENTE A 30 KM (UNIDADE: TXKM), AF_07/2020</t>
  </si>
  <si>
    <t>EXECUÇÃO DE PAVIMENTO COM APLICAÇÃO DE CONCRETO ASFÁLTICO, CAMADA DE BINDER - EXCLUSIVE CARGA E TRANSPORTE, AF_11/2019</t>
  </si>
  <si>
    <t>EXECUÇÃO DE PAVIMENTO COM APLICAÇÃO DE CONCRETO ASFÁLTICO, CAMADA DE ROLAMENTO - EXCLUSIVE CARGA E TRANSPORTE, AF_11/2019</t>
  </si>
  <si>
    <t>_______________________________________________________</t>
  </si>
  <si>
    <t>TRANSPORTE DE MISTURA BETUMINOSA A QUENTE COM CAMINHÃO COM CAÇAMBA TÉRMICA DE 6 M³ - RODOVIA PAVIMENTADA</t>
  </si>
  <si>
    <t>5.1</t>
  </si>
  <si>
    <t>5.2</t>
  </si>
  <si>
    <t>5.3</t>
  </si>
  <si>
    <t>5.4</t>
  </si>
  <si>
    <t>5.5</t>
  </si>
  <si>
    <t>5.6</t>
  </si>
  <si>
    <t>5.7</t>
  </si>
  <si>
    <t>5.8</t>
  </si>
  <si>
    <t>6.1</t>
  </si>
  <si>
    <t>6.2</t>
  </si>
  <si>
    <t>6.3</t>
  </si>
  <si>
    <t>6.4</t>
  </si>
  <si>
    <t>RUA CRISPIM PEREIRA COSTA</t>
  </si>
  <si>
    <t>5.9</t>
  </si>
  <si>
    <t>RUA SEBASTIÃO DE OLIVEIRA</t>
  </si>
  <si>
    <t>RUA VALTER JOSE ROSA (PORTÃO TIGRE)</t>
  </si>
  <si>
    <t>RECAPEAMENTO DE VIAS</t>
  </si>
  <si>
    <t>SICOR LESTE - JULHO/2025</t>
  </si>
  <si>
    <t>SICRO MG - JULHO/2025</t>
  </si>
  <si>
    <t>COMPOSIÇÃO</t>
  </si>
  <si>
    <t>02</t>
  </si>
  <si>
    <t>EXECUÇÃO DE PINTURA DE LIGAÇÃO COM EMULSÃO ASFÁLTICA RR-2C, PARA OBRAS DE CONSTRUÇÃO DE PAVIMENTOS. (REF. 104375 SINAPI 03/2025)</t>
  </si>
  <si>
    <t>4.2</t>
  </si>
  <si>
    <t>4.3</t>
  </si>
  <si>
    <t>4.4</t>
  </si>
  <si>
    <t>4.5</t>
  </si>
  <si>
    <t>4.6</t>
  </si>
  <si>
    <t>4.7</t>
  </si>
  <si>
    <t>4.8</t>
  </si>
  <si>
    <t>PACÍFICO ESTITES RODRIGUES JÚNIOR</t>
  </si>
  <si>
    <t>EXECUÇÃO DE SARJETA DE CONCRETO USINADO, MOLDADA IN LOCO EM TRECHO CURVO, 30 CM BASE X 10 CM ALTURA. AF_01/2024</t>
  </si>
  <si>
    <t>6.5</t>
  </si>
  <si>
    <t>6.6</t>
  </si>
  <si>
    <t>6.7</t>
  </si>
  <si>
    <t>6.8</t>
  </si>
  <si>
    <t>6.9</t>
  </si>
  <si>
    <t>3.4</t>
  </si>
  <si>
    <t>3.5</t>
  </si>
  <si>
    <t>3.6</t>
  </si>
  <si>
    <t>3.7</t>
  </si>
  <si>
    <t>3.8</t>
  </si>
  <si>
    <t>4.9</t>
  </si>
  <si>
    <t>DIVERSAS RUAS</t>
  </si>
  <si>
    <t>RUA ONOFRE SEBASTIÃO ALVIM</t>
  </si>
  <si>
    <t>3.9</t>
  </si>
  <si>
    <t>MEMORIAL DE CÁLCULO</t>
  </si>
  <si>
    <t>(458*0,005)*30</t>
  </si>
  <si>
    <t>(458*0,005)*20</t>
  </si>
  <si>
    <t>458*0,02</t>
  </si>
  <si>
    <t>458*0,03</t>
  </si>
  <si>
    <t>458*0,02 + 458*0,03</t>
  </si>
  <si>
    <t>22,9*2,4*50</t>
  </si>
  <si>
    <t>100,13+26,85+30,35+104,73</t>
  </si>
  <si>
    <t>458,00 (ÁREA RETIRADA DE SOFTWARE)</t>
  </si>
  <si>
    <t>789,00 (ÁREA RETIRADA DE SOFTWARE)</t>
  </si>
  <si>
    <t>(789*0,005)*30</t>
  </si>
  <si>
    <t>(789*0,005)*20</t>
  </si>
  <si>
    <t>789*0,02</t>
  </si>
  <si>
    <t>789*0,03</t>
  </si>
  <si>
    <t>789*0,02 + 789*0,03</t>
  </si>
  <si>
    <t>39,45*2,4*50</t>
  </si>
  <si>
    <t>33,25+115,51+17,33+11,17+32,48+32,43+9,6+15,61+5,12+4,28+51,71+56,32+29,06</t>
  </si>
  <si>
    <t>291,00 (ÁREA RETIRADA DE SOFTWARE)</t>
  </si>
  <si>
    <t>(291*0,005)*30</t>
  </si>
  <si>
    <t>(291*0,005)*20</t>
  </si>
  <si>
    <t>291*0,02</t>
  </si>
  <si>
    <t>291*0,03</t>
  </si>
  <si>
    <t>291*0,02 + 291*0,03</t>
  </si>
  <si>
    <t>14,55*2,4*50</t>
  </si>
  <si>
    <t>8,2+63,29+62,09+7,22</t>
  </si>
  <si>
    <t>188,00 (ÁREA RETIRADA DE SOFTWARE)</t>
  </si>
  <si>
    <t>(188*0,005)*30</t>
  </si>
  <si>
    <t>(188*0,005)*20</t>
  </si>
  <si>
    <t>188*0,02</t>
  </si>
  <si>
    <t>188*0,03</t>
  </si>
  <si>
    <t>188*0,02 + 291*0,03</t>
  </si>
  <si>
    <t>9,40*2,4*50</t>
  </si>
  <si>
    <t>51,71*2</t>
  </si>
  <si>
    <t>SINAPI MG - SETEMBRO/2025</t>
  </si>
  <si>
    <t>RUA HOMERO GOITÁ</t>
  </si>
  <si>
    <t>ASSENTAMENTO DE GUIA (MEIO-FIO) EM TRECHO CURVO, CONFECCIONADA EM CONCRETO PRÉ-FABRICADO, DIMENSÕES 100X15X13X30 CM (COMPRIMENTO X BASE INFERIOR X BASE SUPERIOR X ALTURA). AF_01/2024</t>
  </si>
  <si>
    <t>ENGENHEIRO CIVIL DE OBRA JUNIOR COM ENCARGOS COMPLEMENTARES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</si>
  <si>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</si>
  <si>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</si>
  <si>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</si>
  <si>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</si>
  <si>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</si>
  <si>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</si>
  <si>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</si>
  <si>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</si>
  <si>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</si>
  <si>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</si>
  <si>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3*(4*4*2,5)</t>
  </si>
  <si>
    <t>50,00 (ÁREA RETIRADA DE SOFTWARE)</t>
  </si>
  <si>
    <t>(50*0,005)*30</t>
  </si>
  <si>
    <t>(50*0,005)*20</t>
  </si>
  <si>
    <t>50*0,02</t>
  </si>
  <si>
    <t>50*0,03</t>
  </si>
  <si>
    <t>50*0,02 + 50*0,03</t>
  </si>
  <si>
    <t>2,50*2,4*50</t>
  </si>
  <si>
    <t>10,63+6,34+5,26+12,29+4,9</t>
  </si>
  <si>
    <t>7</t>
  </si>
  <si>
    <t>RUA HORÁCIO PIRES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</si>
  <si>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</si>
  <si>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</si>
  <si>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</si>
  <si>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</si>
  <si>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</si>
  <si>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</si>
  <si>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</si>
  <si>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</si>
  <si>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</si>
  <si>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340,00 (ÁREA RETIRADA DE SOFTWARE)</t>
  </si>
  <si>
    <t>(340*0,005)*30</t>
  </si>
  <si>
    <t>(340*0,005)*20</t>
  </si>
  <si>
    <t>340*0,02</t>
  </si>
  <si>
    <t>340*0,03</t>
  </si>
  <si>
    <t>340*0,02 + 340*0,03</t>
  </si>
  <si>
    <t>2,50*2,4*340</t>
  </si>
  <si>
    <t>85*2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</si>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</sst>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R$ &quot;* #,##0.00_-;&quot;-R$ &quot;* #,##0.00_-;_-&quot;R$ &quot;* \-??_-;_-@_-"/>
    <numFmt numFmtId="165" formatCode="_-* #,##0.00_-;\-* #,##0.00_-;_-* \-??_-;_-@_-"/>
    <numFmt numFmtId="166" formatCode="_(\$* #,##0.00_);_(\$* \(#,##0.00\);_(\$* \-??_);_(@_)"/>
    <numFmt numFmtId="167" formatCode="&quot;R$&quot;\ #,##0.00"/>
    <numFmt numFmtId="168" formatCode="[$-F800]dddd\,\ mmmm\ dd\,\ yyyy"/>
  </numFmts>
  <fonts count="48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0.5"/>
      <color indexed="8"/>
      <name val="Calibri"/>
      <family val="2"/>
      <scheme val="minor"/>
    </font>
    <font>
      <sz val="8"/>
      <name val="Calibri"/>
      <family val="2"/>
    </font>
    <font>
      <sz val="11"/>
      <color rgb="FFFF0000"/>
      <name val="Calibri"/>
      <family val="2"/>
    </font>
    <font>
      <sz val="10.5"/>
      <name val="Calibri"/>
      <family val="2"/>
      <scheme val="minor"/>
    </font>
    <font>
      <sz val="11"/>
      <name val="Calibri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499984740745262"/>
        <bgColor indexed="64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49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7" fillId="3" borderId="0" applyNumberFormat="0" applyBorder="0" applyAlignment="0" applyProtection="0"/>
    <xf numFmtId="164" fontId="22" fillId="0" borderId="0" applyFill="0" applyBorder="0" applyAlignment="0" applyProtection="0"/>
    <xf numFmtId="0" fontId="8" fillId="22" borderId="0" applyNumberFormat="0" applyBorder="0" applyAlignment="0" applyProtection="0"/>
    <xf numFmtId="0" fontId="9" fillId="0" borderId="0"/>
    <xf numFmtId="0" fontId="22" fillId="23" borderId="4" applyNumberFormat="0" applyAlignment="0" applyProtection="0"/>
    <xf numFmtId="9" fontId="22" fillId="0" borderId="0" applyFill="0" applyBorder="0" applyAlignment="0" applyProtection="0"/>
    <xf numFmtId="9" fontId="22" fillId="0" borderId="0" applyFill="0" applyBorder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3" fillId="0" borderId="9" applyNumberFormat="0" applyFill="0" applyAlignment="0" applyProtection="0"/>
    <xf numFmtId="165" fontId="22" fillId="0" borderId="0" applyFill="0" applyBorder="0" applyAlignment="0" applyProtection="0"/>
    <xf numFmtId="165" fontId="22" fillId="0" borderId="0" applyFill="0" applyBorder="0" applyAlignment="0" applyProtection="0"/>
    <xf numFmtId="166" fontId="22" fillId="0" borderId="0" applyFill="0" applyBorder="0" applyAlignment="0" applyProtection="0"/>
  </cellStyleXfs>
  <cellXfs count="216">
    <xf numFmtId="0" fontId="0" fillId="0" borderId="0" xfId="0"/>
    <xf numFmtId="0" fontId="9" fillId="0" borderId="0" xfId="33"/>
    <xf numFmtId="0" fontId="21" fillId="0" borderId="0" xfId="33" applyFont="1"/>
    <xf numFmtId="0" fontId="0" fillId="0" borderId="0" xfId="0" applyAlignment="1">
      <alignment horizontal="center"/>
    </xf>
    <xf numFmtId="0" fontId="25" fillId="0" borderId="0" xfId="33" applyFont="1"/>
    <xf numFmtId="0" fontId="25" fillId="0" borderId="0" xfId="0" applyFont="1"/>
    <xf numFmtId="0" fontId="23" fillId="0" borderId="0" xfId="33" applyFont="1"/>
    <xf numFmtId="0" fontId="13" fillId="0" borderId="0" xfId="0" applyFont="1"/>
    <xf numFmtId="0" fontId="25" fillId="0" borderId="13" xfId="0" applyFont="1" applyBorder="1" applyAlignment="1">
      <alignment horizontal="center" vertical="center"/>
    </xf>
    <xf numFmtId="165" fontId="25" fillId="0" borderId="15" xfId="0" applyNumberFormat="1" applyFont="1" applyBorder="1" applyAlignment="1">
      <alignment horizontal="center" vertical="center"/>
    </xf>
    <xf numFmtId="49" fontId="25" fillId="0" borderId="13" xfId="0" applyNumberFormat="1" applyFont="1" applyBorder="1" applyAlignment="1">
      <alignment horizontal="center" vertical="center"/>
    </xf>
    <xf numFmtId="165" fontId="25" fillId="0" borderId="16" xfId="0" applyNumberFormat="1" applyFont="1" applyBorder="1" applyAlignment="1">
      <alignment horizontal="center" vertical="center"/>
    </xf>
    <xf numFmtId="0" fontId="25" fillId="0" borderId="13" xfId="33" applyFont="1" applyBorder="1" applyAlignment="1">
      <alignment horizontal="center" vertical="center" wrapText="1"/>
    </xf>
    <xf numFmtId="165" fontId="25" fillId="0" borderId="12" xfId="0" applyNumberFormat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13" xfId="0" applyFont="1" applyBorder="1" applyAlignment="1">
      <alignment vertical="center"/>
    </xf>
    <xf numFmtId="0" fontId="27" fillId="0" borderId="13" xfId="0" applyFont="1" applyBorder="1" applyAlignment="1">
      <alignment horizontal="right" vertical="center"/>
    </xf>
    <xf numFmtId="0" fontId="18" fillId="0" borderId="0" xfId="0" applyFont="1" applyAlignment="1">
      <alignment vertical="center" readingOrder="1"/>
    </xf>
    <xf numFmtId="0" fontId="19" fillId="0" borderId="0" xfId="0" applyFont="1" applyAlignment="1">
      <alignment vertical="center" readingOrder="1"/>
    </xf>
    <xf numFmtId="0" fontId="27" fillId="0" borderId="10" xfId="0" applyFont="1" applyBorder="1" applyAlignment="1">
      <alignment vertical="center"/>
    </xf>
    <xf numFmtId="0" fontId="27" fillId="0" borderId="10" xfId="0" applyFont="1" applyBorder="1" applyAlignment="1">
      <alignment horizontal="right" vertical="center"/>
    </xf>
    <xf numFmtId="0" fontId="23" fillId="0" borderId="0" xfId="33" applyFont="1" applyAlignment="1">
      <alignment horizontal="left"/>
    </xf>
    <xf numFmtId="10" fontId="25" fillId="0" borderId="13" xfId="0" applyNumberFormat="1" applyFont="1" applyBorder="1" applyAlignment="1">
      <alignment horizontal="center" vertical="center" wrapText="1"/>
    </xf>
    <xf numFmtId="10" fontId="25" fillId="0" borderId="13" xfId="0" applyNumberFormat="1" applyFont="1" applyBorder="1" applyAlignment="1">
      <alignment horizontal="center" vertical="center"/>
    </xf>
    <xf numFmtId="9" fontId="25" fillId="0" borderId="14" xfId="35" applyFont="1" applyFill="1" applyBorder="1" applyAlignment="1" applyProtection="1">
      <alignment horizontal="center" vertical="center"/>
    </xf>
    <xf numFmtId="0" fontId="25" fillId="0" borderId="10" xfId="0" applyFont="1" applyBorder="1" applyAlignment="1">
      <alignment horizontal="center"/>
    </xf>
    <xf numFmtId="0" fontId="25" fillId="0" borderId="10" xfId="0" applyFont="1" applyBorder="1" applyAlignment="1">
      <alignment horizontal="center" vertical="center" readingOrder="1"/>
    </xf>
    <xf numFmtId="164" fontId="25" fillId="0" borderId="13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164" fontId="25" fillId="0" borderId="14" xfId="0" applyNumberFormat="1" applyFont="1" applyBorder="1" applyAlignment="1">
      <alignment horizontal="center" vertical="center"/>
    </xf>
    <xf numFmtId="4" fontId="25" fillId="0" borderId="13" xfId="0" applyNumberFormat="1" applyFont="1" applyBorder="1" applyAlignment="1">
      <alignment horizontal="center" vertical="center"/>
    </xf>
    <xf numFmtId="4" fontId="25" fillId="0" borderId="13" xfId="46" applyNumberFormat="1" applyFont="1" applyFill="1" applyBorder="1" applyAlignment="1" applyProtection="1">
      <alignment horizontal="center" vertical="center"/>
    </xf>
    <xf numFmtId="10" fontId="27" fillId="0" borderId="13" xfId="0" applyNumberFormat="1" applyFont="1" applyBorder="1" applyAlignment="1">
      <alignment horizontal="center" vertical="center"/>
    </xf>
    <xf numFmtId="10" fontId="27" fillId="0" borderId="13" xfId="46" applyNumberFormat="1" applyFont="1" applyFill="1" applyBorder="1" applyAlignment="1" applyProtection="1">
      <alignment horizontal="center" vertical="center"/>
    </xf>
    <xf numFmtId="167" fontId="27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1" fillId="0" borderId="10" xfId="0" applyFont="1" applyBorder="1" applyAlignment="1">
      <alignment horizontal="center" vertical="center"/>
    </xf>
    <xf numFmtId="0" fontId="32" fillId="0" borderId="0" xfId="0" applyFont="1"/>
    <xf numFmtId="10" fontId="33" fillId="24" borderId="10" xfId="35" applyNumberFormat="1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10" fontId="32" fillId="0" borderId="10" xfId="35" applyNumberFormat="1" applyFont="1" applyBorder="1"/>
    <xf numFmtId="10" fontId="28" fillId="24" borderId="10" xfId="35" applyNumberFormat="1" applyFont="1" applyFill="1" applyBorder="1" applyAlignment="1">
      <alignment horizontal="center" vertical="center"/>
    </xf>
    <xf numFmtId="0" fontId="33" fillId="0" borderId="0" xfId="0" applyFont="1"/>
    <xf numFmtId="0" fontId="31" fillId="0" borderId="0" xfId="0" applyFont="1"/>
    <xf numFmtId="0" fontId="26" fillId="0" borderId="21" xfId="0" applyFont="1" applyBorder="1" applyAlignment="1">
      <alignment horizontal="center" vertical="center" wrapText="1"/>
    </xf>
    <xf numFmtId="4" fontId="35" fillId="0" borderId="10" xfId="46" applyNumberFormat="1" applyFont="1" applyBorder="1" applyAlignment="1">
      <alignment horizontal="center" vertical="center" wrapText="1"/>
    </xf>
    <xf numFmtId="1" fontId="35" fillId="0" borderId="10" xfId="33" applyNumberFormat="1" applyFont="1" applyBorder="1" applyAlignment="1">
      <alignment horizontal="center" vertical="center" wrapText="1"/>
    </xf>
    <xf numFmtId="0" fontId="35" fillId="0" borderId="10" xfId="33" applyFont="1" applyBorder="1" applyAlignment="1">
      <alignment horizontal="center" vertical="center" wrapText="1"/>
    </xf>
    <xf numFmtId="0" fontId="35" fillId="0" borderId="10" xfId="33" applyFont="1" applyBorder="1" applyAlignment="1">
      <alignment horizontal="left" vertical="center" wrapText="1"/>
    </xf>
    <xf numFmtId="4" fontId="35" fillId="0" borderId="10" xfId="46" applyNumberFormat="1" applyFont="1" applyFill="1" applyBorder="1" applyAlignment="1" applyProtection="1">
      <alignment horizontal="center" vertical="center" wrapText="1"/>
    </xf>
    <xf numFmtId="1" fontId="34" fillId="25" borderId="10" xfId="33" applyNumberFormat="1" applyFont="1" applyFill="1" applyBorder="1" applyAlignment="1">
      <alignment horizontal="center" vertical="center" wrapText="1"/>
    </xf>
    <xf numFmtId="0" fontId="34" fillId="25" borderId="10" xfId="33" applyFont="1" applyFill="1" applyBorder="1" applyAlignment="1">
      <alignment horizontal="center" vertical="center" wrapText="1"/>
    </xf>
    <xf numFmtId="0" fontId="34" fillId="25" borderId="10" xfId="33" applyFont="1" applyFill="1" applyBorder="1" applyAlignment="1">
      <alignment vertical="center" wrapText="1"/>
    </xf>
    <xf numFmtId="4" fontId="34" fillId="25" borderId="10" xfId="33" applyNumberFormat="1" applyFont="1" applyFill="1" applyBorder="1" applyAlignment="1">
      <alignment horizontal="center" vertical="center" wrapText="1"/>
    </xf>
    <xf numFmtId="4" fontId="35" fillId="26" borderId="10" xfId="46" applyNumberFormat="1" applyFont="1" applyFill="1" applyBorder="1" applyAlignment="1">
      <alignment horizontal="center" vertical="center" wrapText="1"/>
    </xf>
    <xf numFmtId="4" fontId="34" fillId="25" borderId="10" xfId="46" applyNumberFormat="1" applyFont="1" applyFill="1" applyBorder="1" applyAlignment="1" applyProtection="1">
      <alignment horizontal="center" vertical="center" wrapText="1"/>
    </xf>
    <xf numFmtId="0" fontId="36" fillId="27" borderId="12" xfId="33" applyFont="1" applyFill="1" applyBorder="1" applyAlignment="1">
      <alignment horizontal="center" vertical="center"/>
    </xf>
    <xf numFmtId="0" fontId="36" fillId="27" borderId="12" xfId="33" applyFont="1" applyFill="1" applyBorder="1" applyAlignment="1">
      <alignment horizontal="center" vertical="center" wrapText="1"/>
    </xf>
    <xf numFmtId="0" fontId="32" fillId="0" borderId="17" xfId="0" applyFont="1" applyBorder="1"/>
    <xf numFmtId="0" fontId="0" fillId="0" borderId="22" xfId="0" applyBorder="1" applyAlignment="1">
      <alignment vertical="center"/>
    </xf>
    <xf numFmtId="2" fontId="0" fillId="0" borderId="0" xfId="0" applyNumberFormat="1" applyAlignment="1">
      <alignment vertical="center"/>
    </xf>
    <xf numFmtId="0" fontId="37" fillId="0" borderId="2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38" fillId="0" borderId="23" xfId="0" applyFont="1" applyBorder="1" applyAlignment="1">
      <alignment vertical="top"/>
    </xf>
    <xf numFmtId="0" fontId="25" fillId="0" borderId="0" xfId="0" applyFont="1" applyAlignment="1">
      <alignment vertical="top"/>
    </xf>
    <xf numFmtId="0" fontId="0" fillId="0" borderId="0" xfId="0" applyAlignment="1">
      <alignment vertical="top"/>
    </xf>
    <xf numFmtId="2" fontId="0" fillId="0" borderId="0" xfId="0" applyNumberFormat="1" applyAlignment="1">
      <alignment vertical="top"/>
    </xf>
    <xf numFmtId="0" fontId="25" fillId="0" borderId="19" xfId="0" applyFont="1" applyBorder="1" applyAlignment="1">
      <alignment vertical="center"/>
    </xf>
    <xf numFmtId="0" fontId="25" fillId="0" borderId="19" xfId="0" applyFont="1" applyBorder="1" applyAlignment="1">
      <alignment vertical="top"/>
    </xf>
    <xf numFmtId="0" fontId="38" fillId="0" borderId="24" xfId="0" applyFont="1" applyBorder="1" applyAlignment="1">
      <alignment vertical="top"/>
    </xf>
    <xf numFmtId="0" fontId="25" fillId="0" borderId="25" xfId="0" applyFont="1" applyBorder="1" applyAlignment="1">
      <alignment vertical="top"/>
    </xf>
    <xf numFmtId="0" fontId="25" fillId="0" borderId="26" xfId="0" applyFont="1" applyBorder="1" applyAlignment="1">
      <alignment vertical="top"/>
    </xf>
    <xf numFmtId="0" fontId="24" fillId="0" borderId="27" xfId="0" applyFont="1" applyBorder="1" applyAlignment="1">
      <alignment horizontal="center" vertical="center"/>
    </xf>
    <xf numFmtId="0" fontId="0" fillId="0" borderId="19" xfId="0" applyBorder="1" applyAlignment="1">
      <alignment vertical="center"/>
    </xf>
    <xf numFmtId="10" fontId="22" fillId="0" borderId="28" xfId="35" applyNumberFormat="1" applyBorder="1" applyAlignment="1">
      <alignment vertical="center"/>
    </xf>
    <xf numFmtId="10" fontId="22" fillId="0" borderId="29" xfId="35" applyNumberFormat="1" applyBorder="1" applyAlignment="1">
      <alignment vertical="center"/>
    </xf>
    <xf numFmtId="0" fontId="31" fillId="0" borderId="30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10" fontId="32" fillId="0" borderId="28" xfId="35" applyNumberFormat="1" applyFont="1" applyBorder="1"/>
    <xf numFmtId="10" fontId="32" fillId="0" borderId="31" xfId="35" applyNumberFormat="1" applyFont="1" applyBorder="1"/>
    <xf numFmtId="10" fontId="32" fillId="0" borderId="29" xfId="35" applyNumberFormat="1" applyFont="1" applyBorder="1"/>
    <xf numFmtId="10" fontId="32" fillId="0" borderId="30" xfId="35" applyNumberFormat="1" applyFont="1" applyBorder="1"/>
    <xf numFmtId="10" fontId="32" fillId="0" borderId="32" xfId="35" applyNumberFormat="1" applyFont="1" applyBorder="1"/>
    <xf numFmtId="0" fontId="13" fillId="0" borderId="20" xfId="0" applyFont="1" applyBorder="1" applyAlignment="1">
      <alignment horizontal="center"/>
    </xf>
    <xf numFmtId="0" fontId="0" fillId="0" borderId="22" xfId="0" applyBorder="1"/>
    <xf numFmtId="0" fontId="0" fillId="0" borderId="34" xfId="0" applyBorder="1"/>
    <xf numFmtId="0" fontId="0" fillId="0" borderId="35" xfId="0" applyBorder="1"/>
    <xf numFmtId="0" fontId="0" fillId="0" borderId="25" xfId="0" applyBorder="1"/>
    <xf numFmtId="0" fontId="0" fillId="0" borderId="36" xfId="0" applyBorder="1"/>
    <xf numFmtId="168" fontId="33" fillId="0" borderId="0" xfId="0" applyNumberFormat="1" applyFont="1" applyAlignment="1">
      <alignment horizontal="left"/>
    </xf>
    <xf numFmtId="0" fontId="36" fillId="27" borderId="10" xfId="33" applyFont="1" applyFill="1" applyBorder="1" applyAlignment="1">
      <alignment horizontal="center" vertical="center" wrapText="1"/>
    </xf>
    <xf numFmtId="0" fontId="0" fillId="28" borderId="10" xfId="0" applyFill="1" applyBorder="1"/>
    <xf numFmtId="0" fontId="13" fillId="28" borderId="10" xfId="0" applyFont="1" applyFill="1" applyBorder="1" applyAlignment="1">
      <alignment horizontal="center" vertical="center"/>
    </xf>
    <xf numFmtId="167" fontId="0" fillId="28" borderId="10" xfId="0" applyNumberFormat="1" applyFill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0" fillId="0" borderId="38" xfId="0" applyBorder="1" applyAlignment="1">
      <alignment vertical="center"/>
    </xf>
    <xf numFmtId="0" fontId="0" fillId="0" borderId="39" xfId="0" applyBorder="1" applyAlignment="1">
      <alignment vertical="center"/>
    </xf>
    <xf numFmtId="0" fontId="32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0" fillId="0" borderId="0" xfId="0" applyProtection="1"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9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7" fillId="0" borderId="33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5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36" xfId="0" applyBorder="1" applyAlignment="1">
      <alignment vertical="top"/>
    </xf>
    <xf numFmtId="0" fontId="0" fillId="0" borderId="40" xfId="0" applyBorder="1" applyAlignment="1">
      <alignment vertical="center"/>
    </xf>
    <xf numFmtId="10" fontId="0" fillId="0" borderId="0" xfId="0" applyNumberFormat="1"/>
    <xf numFmtId="0" fontId="27" fillId="0" borderId="56" xfId="0" applyFont="1" applyBorder="1" applyAlignment="1">
      <alignment horizontal="center" vertical="center"/>
    </xf>
    <xf numFmtId="0" fontId="27" fillId="0" borderId="56" xfId="0" applyFont="1" applyBorder="1" applyAlignment="1">
      <alignment horizontal="center" vertical="center" wrapText="1"/>
    </xf>
    <xf numFmtId="0" fontId="27" fillId="0" borderId="57" xfId="0" applyFont="1" applyBorder="1" applyAlignment="1">
      <alignment horizontal="center" vertical="center"/>
    </xf>
    <xf numFmtId="0" fontId="25" fillId="0" borderId="45" xfId="0" applyFont="1" applyBorder="1"/>
    <xf numFmtId="0" fontId="25" fillId="0" borderId="45" xfId="0" applyFont="1" applyBorder="1" applyAlignment="1">
      <alignment horizontal="left" vertical="center" readingOrder="1"/>
    </xf>
    <xf numFmtId="0" fontId="27" fillId="29" borderId="55" xfId="0" applyFont="1" applyFill="1" applyBorder="1" applyAlignment="1">
      <alignment horizontal="center" vertical="center"/>
    </xf>
    <xf numFmtId="0" fontId="27" fillId="29" borderId="55" xfId="0" applyFont="1" applyFill="1" applyBorder="1" applyAlignment="1">
      <alignment horizontal="center" vertical="center" wrapText="1"/>
    </xf>
    <xf numFmtId="0" fontId="45" fillId="30" borderId="33" xfId="0" applyFont="1" applyFill="1" applyBorder="1"/>
    <xf numFmtId="0" fontId="45" fillId="30" borderId="23" xfId="0" applyFont="1" applyFill="1" applyBorder="1"/>
    <xf numFmtId="0" fontId="45" fillId="30" borderId="24" xfId="0" applyFont="1" applyFill="1" applyBorder="1"/>
    <xf numFmtId="0" fontId="45" fillId="30" borderId="0" xfId="0" applyFont="1" applyFill="1"/>
    <xf numFmtId="0" fontId="45" fillId="31" borderId="23" xfId="0" applyFont="1" applyFill="1" applyBorder="1"/>
    <xf numFmtId="10" fontId="33" fillId="0" borderId="28" xfId="35" applyNumberFormat="1" applyFont="1" applyBorder="1"/>
    <xf numFmtId="10" fontId="33" fillId="0" borderId="10" xfId="35" applyNumberFormat="1" applyFont="1" applyBorder="1"/>
    <xf numFmtId="49" fontId="25" fillId="0" borderId="56" xfId="0" applyNumberFormat="1" applyFont="1" applyBorder="1" applyAlignment="1">
      <alignment horizontal="center" vertical="center"/>
    </xf>
    <xf numFmtId="0" fontId="25" fillId="0" borderId="58" xfId="33" applyFont="1" applyBorder="1" applyAlignment="1">
      <alignment horizontal="center" vertical="center" wrapText="1"/>
    </xf>
    <xf numFmtId="10" fontId="25" fillId="0" borderId="56" xfId="0" applyNumberFormat="1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165" fontId="25" fillId="0" borderId="10" xfId="0" applyNumberFormat="1" applyFont="1" applyBorder="1" applyAlignment="1">
      <alignment horizontal="center" vertical="center"/>
    </xf>
    <xf numFmtId="164" fontId="25" fillId="0" borderId="10" xfId="0" applyNumberFormat="1" applyFont="1" applyBorder="1" applyAlignment="1">
      <alignment horizontal="center" vertical="center"/>
    </xf>
    <xf numFmtId="0" fontId="25" fillId="0" borderId="10" xfId="0" applyFont="1" applyBorder="1"/>
    <xf numFmtId="0" fontId="0" fillId="0" borderId="59" xfId="0" applyBorder="1" applyAlignment="1">
      <alignment vertical="center"/>
    </xf>
    <xf numFmtId="10" fontId="22" fillId="0" borderId="60" xfId="35" applyNumberFormat="1" applyBorder="1" applyAlignment="1">
      <alignment vertical="center"/>
    </xf>
    <xf numFmtId="0" fontId="29" fillId="0" borderId="23" xfId="0" applyFont="1" applyBorder="1" applyAlignment="1">
      <alignment vertical="top"/>
    </xf>
    <xf numFmtId="0" fontId="26" fillId="0" borderId="23" xfId="0" applyFont="1" applyBorder="1" applyAlignment="1">
      <alignment vertical="center"/>
    </xf>
    <xf numFmtId="0" fontId="29" fillId="0" borderId="24" xfId="0" applyFont="1" applyBorder="1" applyAlignment="1">
      <alignment vertical="top"/>
    </xf>
    <xf numFmtId="167" fontId="9" fillId="0" borderId="0" xfId="33" applyNumberFormat="1"/>
    <xf numFmtId="0" fontId="47" fillId="0" borderId="0" xfId="0" applyFont="1"/>
    <xf numFmtId="49" fontId="35" fillId="0" borderId="10" xfId="33" applyNumberFormat="1" applyFont="1" applyBorder="1" applyAlignment="1">
      <alignment horizontal="center" vertical="center" wrapText="1"/>
    </xf>
    <xf numFmtId="0" fontId="24" fillId="0" borderId="41" xfId="0" applyFont="1" applyBorder="1" applyAlignment="1">
      <alignment horizontal="center" vertical="center" wrapText="1"/>
    </xf>
    <xf numFmtId="0" fontId="24" fillId="0" borderId="42" xfId="0" applyFont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32" fillId="0" borderId="20" xfId="0" applyFont="1" applyBorder="1" applyAlignment="1">
      <alignment horizontal="left" vertical="center"/>
    </xf>
    <xf numFmtId="0" fontId="32" fillId="0" borderId="44" xfId="0" applyFont="1" applyBorder="1" applyAlignment="1">
      <alignment horizontal="left" vertical="center"/>
    </xf>
    <xf numFmtId="0" fontId="40" fillId="0" borderId="20" xfId="0" applyFont="1" applyBorder="1" applyAlignment="1">
      <alignment horizontal="center" vertical="center"/>
    </xf>
    <xf numFmtId="0" fontId="40" fillId="0" borderId="44" xfId="0" applyFont="1" applyBorder="1" applyAlignment="1">
      <alignment horizontal="center" vertical="center"/>
    </xf>
    <xf numFmtId="0" fontId="41" fillId="0" borderId="0" xfId="0" applyFont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 vertical="center"/>
      <protection locked="0"/>
    </xf>
    <xf numFmtId="0" fontId="30" fillId="0" borderId="11" xfId="0" applyFont="1" applyBorder="1" applyAlignment="1">
      <alignment horizontal="left" vertical="center"/>
    </xf>
    <xf numFmtId="0" fontId="33" fillId="0" borderId="45" xfId="0" applyFont="1" applyBorder="1" applyAlignment="1" applyProtection="1">
      <alignment horizontal="left" vertical="center"/>
      <protection locked="0"/>
    </xf>
    <xf numFmtId="49" fontId="35" fillId="26" borderId="47" xfId="33" applyNumberFormat="1" applyFont="1" applyFill="1" applyBorder="1" applyAlignment="1">
      <alignment horizontal="center" vertical="center" wrapText="1"/>
    </xf>
    <xf numFmtId="49" fontId="35" fillId="26" borderId="44" xfId="33" applyNumberFormat="1" applyFont="1" applyFill="1" applyBorder="1" applyAlignment="1">
      <alignment horizontal="center" vertical="center" wrapText="1"/>
    </xf>
    <xf numFmtId="0" fontId="23" fillId="0" borderId="18" xfId="33" applyFont="1" applyBorder="1" applyAlignment="1">
      <alignment horizontal="left"/>
    </xf>
    <xf numFmtId="0" fontId="0" fillId="0" borderId="0" xfId="0" applyAlignment="1">
      <alignment horizontal="left"/>
    </xf>
    <xf numFmtId="0" fontId="26" fillId="0" borderId="21" xfId="0" applyFont="1" applyBorder="1" applyAlignment="1">
      <alignment horizontal="center" vertical="center" wrapText="1"/>
    </xf>
    <xf numFmtId="0" fontId="26" fillId="0" borderId="49" xfId="0" applyFont="1" applyBorder="1" applyAlignment="1">
      <alignment horizontal="center" vertical="center" wrapText="1"/>
    </xf>
    <xf numFmtId="0" fontId="26" fillId="0" borderId="50" xfId="0" applyFont="1" applyBorder="1" applyAlignment="1">
      <alignment horizontal="center" vertical="center" wrapText="1"/>
    </xf>
    <xf numFmtId="0" fontId="0" fillId="0" borderId="33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4" xfId="0" applyBorder="1" applyAlignment="1">
      <alignment horizontal="center"/>
    </xf>
    <xf numFmtId="0" fontId="42" fillId="27" borderId="46" xfId="0" applyFont="1" applyFill="1" applyBorder="1" applyAlignment="1">
      <alignment horizontal="center" vertical="center"/>
    </xf>
    <xf numFmtId="0" fontId="42" fillId="27" borderId="47" xfId="0" applyFont="1" applyFill="1" applyBorder="1" applyAlignment="1">
      <alignment horizontal="center" vertical="center"/>
    </xf>
    <xf numFmtId="0" fontId="42" fillId="27" borderId="48" xfId="0" applyFont="1" applyFill="1" applyBorder="1" applyAlignment="1">
      <alignment horizontal="center" vertical="center"/>
    </xf>
    <xf numFmtId="0" fontId="25" fillId="0" borderId="17" xfId="0" applyFont="1" applyBorder="1" applyAlignment="1">
      <alignment horizontal="left" vertical="top"/>
    </xf>
    <xf numFmtId="0" fontId="25" fillId="0" borderId="0" xfId="0" applyFont="1" applyAlignment="1">
      <alignment horizontal="left" vertical="top"/>
    </xf>
    <xf numFmtId="0" fontId="25" fillId="0" borderId="19" xfId="0" applyFont="1" applyBorder="1" applyAlignment="1">
      <alignment horizontal="left" vertical="top"/>
    </xf>
    <xf numFmtId="0" fontId="27" fillId="0" borderId="17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19" xfId="0" applyFont="1" applyBorder="1" applyAlignment="1">
      <alignment horizontal="left" vertical="center"/>
    </xf>
    <xf numFmtId="0" fontId="27" fillId="0" borderId="35" xfId="0" applyFont="1" applyBorder="1" applyAlignment="1">
      <alignment horizontal="left" vertical="center"/>
    </xf>
    <xf numFmtId="14" fontId="46" fillId="0" borderId="0" xfId="0" applyNumberFormat="1" applyFont="1" applyAlignment="1">
      <alignment horizontal="left" vertical="top"/>
    </xf>
    <xf numFmtId="14" fontId="46" fillId="0" borderId="35" xfId="0" applyNumberFormat="1" applyFont="1" applyBorder="1" applyAlignment="1">
      <alignment horizontal="left" vertical="top"/>
    </xf>
    <xf numFmtId="0" fontId="38" fillId="0" borderId="23" xfId="0" applyFont="1" applyBorder="1" applyAlignment="1">
      <alignment horizontal="left" vertical="top"/>
    </xf>
    <xf numFmtId="0" fontId="38" fillId="0" borderId="0" xfId="0" applyFont="1" applyAlignment="1">
      <alignment horizontal="left" vertical="top"/>
    </xf>
    <xf numFmtId="0" fontId="38" fillId="0" borderId="19" xfId="0" applyFont="1" applyBorder="1" applyAlignment="1">
      <alignment horizontal="left" vertical="top"/>
    </xf>
    <xf numFmtId="10" fontId="25" fillId="0" borderId="17" xfId="0" applyNumberFormat="1" applyFont="1" applyBorder="1" applyAlignment="1">
      <alignment horizontal="left" vertical="top"/>
    </xf>
    <xf numFmtId="10" fontId="25" fillId="0" borderId="35" xfId="0" applyNumberFormat="1" applyFont="1" applyBorder="1" applyAlignment="1">
      <alignment horizontal="left" vertical="top"/>
    </xf>
    <xf numFmtId="10" fontId="25" fillId="0" borderId="51" xfId="0" applyNumberFormat="1" applyFont="1" applyBorder="1" applyAlignment="1">
      <alignment horizontal="left" vertical="top"/>
    </xf>
    <xf numFmtId="10" fontId="25" fillId="0" borderId="36" xfId="0" applyNumberFormat="1" applyFont="1" applyBorder="1" applyAlignment="1">
      <alignment horizontal="left" vertical="top"/>
    </xf>
    <xf numFmtId="0" fontId="0" fillId="0" borderId="51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25" fillId="0" borderId="17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19" xfId="0" applyFont="1" applyBorder="1" applyAlignment="1">
      <alignment horizontal="left" vertical="center"/>
    </xf>
    <xf numFmtId="4" fontId="35" fillId="0" borderId="20" xfId="46" applyNumberFormat="1" applyFont="1" applyBorder="1" applyAlignment="1">
      <alignment horizontal="center" vertical="center" wrapText="1"/>
    </xf>
    <xf numFmtId="4" fontId="35" fillId="0" borderId="47" xfId="46" applyNumberFormat="1" applyFont="1" applyBorder="1" applyAlignment="1">
      <alignment horizontal="center" vertical="center" wrapText="1"/>
    </xf>
    <xf numFmtId="4" fontId="35" fillId="0" borderId="44" xfId="46" applyNumberFormat="1" applyFont="1" applyBorder="1" applyAlignment="1">
      <alignment horizontal="center" vertical="center" wrapText="1"/>
    </xf>
    <xf numFmtId="4" fontId="34" fillId="25" borderId="20" xfId="33" applyNumberFormat="1" applyFont="1" applyFill="1" applyBorder="1" applyAlignment="1">
      <alignment horizontal="center" vertical="center" wrapText="1"/>
    </xf>
    <xf numFmtId="4" fontId="34" fillId="25" borderId="47" xfId="33" applyNumberFormat="1" applyFont="1" applyFill="1" applyBorder="1" applyAlignment="1">
      <alignment horizontal="center" vertical="center" wrapText="1"/>
    </xf>
    <xf numFmtId="4" fontId="34" fillId="25" borderId="44" xfId="33" applyNumberFormat="1" applyFont="1" applyFill="1" applyBorder="1" applyAlignment="1">
      <alignment horizontal="center" vertical="center" wrapText="1"/>
    </xf>
    <xf numFmtId="0" fontId="36" fillId="27" borderId="61" xfId="33" applyFont="1" applyFill="1" applyBorder="1" applyAlignment="1">
      <alignment horizontal="center" vertical="center" wrapText="1"/>
    </xf>
    <xf numFmtId="0" fontId="36" fillId="27" borderId="62" xfId="33" applyFont="1" applyFill="1" applyBorder="1" applyAlignment="1">
      <alignment horizontal="center" vertical="center" wrapText="1"/>
    </xf>
    <xf numFmtId="0" fontId="36" fillId="27" borderId="63" xfId="33" applyFont="1" applyFill="1" applyBorder="1" applyAlignment="1">
      <alignment horizontal="center" vertical="center" wrapText="1"/>
    </xf>
    <xf numFmtId="0" fontId="38" fillId="0" borderId="35" xfId="0" applyFont="1" applyBorder="1" applyAlignment="1">
      <alignment horizontal="left" vertical="top"/>
    </xf>
    <xf numFmtId="0" fontId="42" fillId="27" borderId="52" xfId="0" applyFont="1" applyFill="1" applyBorder="1" applyAlignment="1">
      <alignment horizontal="center" vertical="center"/>
    </xf>
    <xf numFmtId="0" fontId="42" fillId="27" borderId="53" xfId="0" applyFont="1" applyFill="1" applyBorder="1" applyAlignment="1">
      <alignment horizontal="center" vertical="center"/>
    </xf>
    <xf numFmtId="0" fontId="42" fillId="27" borderId="54" xfId="0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27" fillId="0" borderId="33" xfId="0" applyFont="1" applyBorder="1" applyAlignment="1">
      <alignment horizontal="left" vertical="center"/>
    </xf>
    <xf numFmtId="0" fontId="27" fillId="0" borderId="34" xfId="0" applyFont="1" applyBorder="1" applyAlignment="1">
      <alignment horizontal="left" vertical="center"/>
    </xf>
    <xf numFmtId="14" fontId="43" fillId="0" borderId="23" xfId="0" applyNumberFormat="1" applyFont="1" applyBorder="1" applyAlignment="1">
      <alignment horizontal="left" vertical="top"/>
    </xf>
    <xf numFmtId="14" fontId="43" fillId="0" borderId="35" xfId="0" applyNumberFormat="1" applyFont="1" applyBorder="1" applyAlignment="1">
      <alignment horizontal="left" vertical="top"/>
    </xf>
    <xf numFmtId="0" fontId="27" fillId="0" borderId="23" xfId="0" applyFont="1" applyBorder="1" applyAlignment="1">
      <alignment horizontal="left" vertical="center"/>
    </xf>
    <xf numFmtId="10" fontId="25" fillId="0" borderId="23" xfId="0" applyNumberFormat="1" applyFont="1" applyBorder="1" applyAlignment="1">
      <alignment horizontal="left" vertical="top"/>
    </xf>
    <xf numFmtId="10" fontId="25" fillId="0" borderId="24" xfId="0" applyNumberFormat="1" applyFont="1" applyBorder="1" applyAlignment="1">
      <alignment horizontal="left" vertical="top"/>
    </xf>
  </cellXfs>
  <cellStyles count="49">
    <cellStyle name="20% - Ênfase1 2" xfId="1" xr:uid="{00000000-0005-0000-0000-000000000000}"/>
    <cellStyle name="20% - Ênfase2 2" xfId="2" xr:uid="{00000000-0005-0000-0000-000001000000}"/>
    <cellStyle name="20% - Ênfase3 2" xfId="3" xr:uid="{00000000-0005-0000-0000-000002000000}"/>
    <cellStyle name="20% - Ênfase4 2" xfId="4" xr:uid="{00000000-0005-0000-0000-000003000000}"/>
    <cellStyle name="20% - Ênfase5 2" xfId="5" xr:uid="{00000000-0005-0000-0000-000004000000}"/>
    <cellStyle name="20% - Ênfase6 2" xfId="6" xr:uid="{00000000-0005-0000-0000-000005000000}"/>
    <cellStyle name="40% - Ênfase1 2" xfId="7" xr:uid="{00000000-0005-0000-0000-000006000000}"/>
    <cellStyle name="40% - Ênfase2 2" xfId="8" xr:uid="{00000000-0005-0000-0000-000007000000}"/>
    <cellStyle name="40% - Ênfase3 2" xfId="9" xr:uid="{00000000-0005-0000-0000-000008000000}"/>
    <cellStyle name="40% - Ênfase4 2" xfId="10" xr:uid="{00000000-0005-0000-0000-000009000000}"/>
    <cellStyle name="40% - Ênfase5 2" xfId="11" xr:uid="{00000000-0005-0000-0000-00000A000000}"/>
    <cellStyle name="40% - Ênfase6 2" xfId="12" xr:uid="{00000000-0005-0000-0000-00000B000000}"/>
    <cellStyle name="60% - Ênfase1 2" xfId="13" xr:uid="{00000000-0005-0000-0000-00000C000000}"/>
    <cellStyle name="60% - Ênfase2 2" xfId="14" xr:uid="{00000000-0005-0000-0000-00000D000000}"/>
    <cellStyle name="60% - Ênfase3 2" xfId="15" xr:uid="{00000000-0005-0000-0000-00000E000000}"/>
    <cellStyle name="60% - Ênfase4 2" xfId="16" xr:uid="{00000000-0005-0000-0000-00000F000000}"/>
    <cellStyle name="60% - Ênfase5 2" xfId="17" xr:uid="{00000000-0005-0000-0000-000010000000}"/>
    <cellStyle name="60% - Ênfase6 2" xfId="18" xr:uid="{00000000-0005-0000-0000-000011000000}"/>
    <cellStyle name="Bom 2" xfId="19" xr:uid="{00000000-0005-0000-0000-000012000000}"/>
    <cellStyle name="Cálculo 2" xfId="20" xr:uid="{00000000-0005-0000-0000-000013000000}"/>
    <cellStyle name="Célula de Verificação 2" xfId="21" xr:uid="{00000000-0005-0000-0000-000014000000}"/>
    <cellStyle name="Célula Vinculada 2" xfId="22" xr:uid="{00000000-0005-0000-0000-000015000000}"/>
    <cellStyle name="Ênfase1 2" xfId="23" xr:uid="{00000000-0005-0000-0000-000016000000}"/>
    <cellStyle name="Ênfase2 2" xfId="24" xr:uid="{00000000-0005-0000-0000-000017000000}"/>
    <cellStyle name="Ênfase3 2" xfId="25" xr:uid="{00000000-0005-0000-0000-000018000000}"/>
    <cellStyle name="Ênfase4 2" xfId="26" xr:uid="{00000000-0005-0000-0000-000019000000}"/>
    <cellStyle name="Ênfase5 2" xfId="27" xr:uid="{00000000-0005-0000-0000-00001A000000}"/>
    <cellStyle name="Ênfase6 2" xfId="28" xr:uid="{00000000-0005-0000-0000-00001B000000}"/>
    <cellStyle name="Entrada 2" xfId="29" xr:uid="{00000000-0005-0000-0000-00001C000000}"/>
    <cellStyle name="Incorreto 2" xfId="30" xr:uid="{00000000-0005-0000-0000-00001D000000}"/>
    <cellStyle name="Moeda 2" xfId="31" xr:uid="{00000000-0005-0000-0000-00001F000000}"/>
    <cellStyle name="Neutra 2" xfId="32" xr:uid="{00000000-0005-0000-0000-000020000000}"/>
    <cellStyle name="Normal" xfId="0" builtinId="0"/>
    <cellStyle name="Normal 2" xfId="33" xr:uid="{00000000-0005-0000-0000-000022000000}"/>
    <cellStyle name="Nota 2" xfId="34" xr:uid="{00000000-0005-0000-0000-000023000000}"/>
    <cellStyle name="Porcentagem" xfId="35" builtinId="5"/>
    <cellStyle name="Porcentagem 2" xfId="36" xr:uid="{00000000-0005-0000-0000-000025000000}"/>
    <cellStyle name="Saída 2" xfId="37" xr:uid="{00000000-0005-0000-0000-000026000000}"/>
    <cellStyle name="Texto de Aviso 2" xfId="38" xr:uid="{00000000-0005-0000-0000-000027000000}"/>
    <cellStyle name="Texto Explicativo 2" xfId="39" xr:uid="{00000000-0005-0000-0000-000028000000}"/>
    <cellStyle name="Título 1 2" xfId="40" xr:uid="{00000000-0005-0000-0000-000029000000}"/>
    <cellStyle name="Título 2 2" xfId="41" xr:uid="{00000000-0005-0000-0000-00002A000000}"/>
    <cellStyle name="Título 3 2" xfId="42" xr:uid="{00000000-0005-0000-0000-00002B000000}"/>
    <cellStyle name="Título 4 2" xfId="43" xr:uid="{00000000-0005-0000-0000-00002C000000}"/>
    <cellStyle name="Título 5" xfId="44" xr:uid="{00000000-0005-0000-0000-00002D000000}"/>
    <cellStyle name="Total 2" xfId="45" xr:uid="{00000000-0005-0000-0000-00002E000000}"/>
    <cellStyle name="Vírgula" xfId="46" builtinId="3"/>
    <cellStyle name="Vírgula 2" xfId="47" xr:uid="{00000000-0005-0000-0000-000030000000}"/>
    <cellStyle name="Währung" xfId="48" xr:uid="{00000000-0005-0000-0000-00003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85725</xdr:rowOff>
    </xdr:from>
    <xdr:to>
      <xdr:col>0</xdr:col>
      <xdr:colOff>1924050</xdr:colOff>
      <xdr:row>5</xdr:row>
      <xdr:rowOff>47625</xdr:rowOff>
    </xdr:to>
    <xdr:pic>
      <xdr:nvPicPr>
        <xdr:cNvPr id="1102" name="Imagem 4">
          <a:extLst>
            <a:ext uri="{FF2B5EF4-FFF2-40B4-BE49-F238E27FC236}">
              <a16:creationId xmlns:a16="http://schemas.microsoft.com/office/drawing/2014/main" id="{2FC8FF1F-7DAD-FC53-3C03-0B8A2253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897" t="27599" r="25648" b="31818"/>
        <a:stretch>
          <a:fillRect/>
        </a:stretch>
      </xdr:blipFill>
      <xdr:spPr bwMode="auto">
        <a:xfrm>
          <a:off x="190500" y="85725"/>
          <a:ext cx="173355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1962150</xdr:colOff>
      <xdr:row>1</xdr:row>
      <xdr:rowOff>95250</xdr:rowOff>
    </xdr:from>
    <xdr:to>
      <xdr:col>0</xdr:col>
      <xdr:colOff>4772025</xdr:colOff>
      <xdr:row>4</xdr:row>
      <xdr:rowOff>200025</xdr:rowOff>
    </xdr:to>
    <xdr:pic>
      <xdr:nvPicPr>
        <xdr:cNvPr id="1103" name="Imagem 6">
          <a:extLst>
            <a:ext uri="{FF2B5EF4-FFF2-40B4-BE49-F238E27FC236}">
              <a16:creationId xmlns:a16="http://schemas.microsoft.com/office/drawing/2014/main" id="{4C514C4C-42E9-B7B5-8366-B49F16703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" y="428625"/>
          <a:ext cx="2809875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1533525</xdr:colOff>
      <xdr:row>27</xdr:row>
      <xdr:rowOff>142875</xdr:rowOff>
    </xdr:from>
    <xdr:to>
      <xdr:col>0</xdr:col>
      <xdr:colOff>5953125</xdr:colOff>
      <xdr:row>31</xdr:row>
      <xdr:rowOff>114300</xdr:rowOff>
    </xdr:to>
    <xdr:pic>
      <xdr:nvPicPr>
        <xdr:cNvPr id="1104" name="Imagem 1" descr="Recorte de Tela">
          <a:extLst>
            <a:ext uri="{FF2B5EF4-FFF2-40B4-BE49-F238E27FC236}">
              <a16:creationId xmlns:a16="http://schemas.microsoft.com/office/drawing/2014/main" id="{A0BBDD3B-9072-A79F-F07A-9C9F96180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3525" y="7724775"/>
          <a:ext cx="44196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6203455</xdr:colOff>
      <xdr:row>1</xdr:row>
      <xdr:rowOff>0</xdr:rowOff>
    </xdr:from>
    <xdr:to>
      <xdr:col>2</xdr:col>
      <xdr:colOff>737742</xdr:colOff>
      <xdr:row>4</xdr:row>
      <xdr:rowOff>285750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9A9CB30A-156C-4121-9252-44CD3D914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3455" y="333375"/>
          <a:ext cx="1439912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47625</xdr:rowOff>
    </xdr:from>
    <xdr:to>
      <xdr:col>3</xdr:col>
      <xdr:colOff>228600</xdr:colOff>
      <xdr:row>0</xdr:row>
      <xdr:rowOff>1485900</xdr:rowOff>
    </xdr:to>
    <xdr:pic>
      <xdr:nvPicPr>
        <xdr:cNvPr id="17504" name="Imagem 4">
          <a:extLst>
            <a:ext uri="{FF2B5EF4-FFF2-40B4-BE49-F238E27FC236}">
              <a16:creationId xmlns:a16="http://schemas.microsoft.com/office/drawing/2014/main" id="{E1966F43-8DD4-58B9-32A3-5B55165F4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897" t="27599" r="25648" b="31818"/>
        <a:stretch>
          <a:fillRect/>
        </a:stretch>
      </xdr:blipFill>
      <xdr:spPr bwMode="auto">
        <a:xfrm>
          <a:off x="685800" y="47625"/>
          <a:ext cx="160972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228600</xdr:colOff>
      <xdr:row>0</xdr:row>
      <xdr:rowOff>138960</xdr:rowOff>
    </xdr:from>
    <xdr:to>
      <xdr:col>4</xdr:col>
      <xdr:colOff>2495550</xdr:colOff>
      <xdr:row>0</xdr:row>
      <xdr:rowOff>1304925</xdr:rowOff>
    </xdr:to>
    <xdr:pic>
      <xdr:nvPicPr>
        <xdr:cNvPr id="17505" name="Imagem 6">
          <a:extLst>
            <a:ext uri="{FF2B5EF4-FFF2-40B4-BE49-F238E27FC236}">
              <a16:creationId xmlns:a16="http://schemas.microsoft.com/office/drawing/2014/main" id="{EA21FA9B-27C3-C093-9AF2-D931F5984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5525" y="138960"/>
          <a:ext cx="3114675" cy="1165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681483</xdr:colOff>
      <xdr:row>0</xdr:row>
      <xdr:rowOff>161924</xdr:rowOff>
    </xdr:from>
    <xdr:to>
      <xdr:col>9</xdr:col>
      <xdr:colOff>962024</xdr:colOff>
      <xdr:row>0</xdr:row>
      <xdr:rowOff>1295399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8F94A22D-A8CD-467B-B5CA-EFE29935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8508" y="161924"/>
          <a:ext cx="1328291" cy="113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47625</xdr:rowOff>
    </xdr:from>
    <xdr:to>
      <xdr:col>3</xdr:col>
      <xdr:colOff>228600</xdr:colOff>
      <xdr:row>0</xdr:row>
      <xdr:rowOff>1485900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7B5CF933-841B-4EA2-BACE-828F95833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897" t="27599" r="25648" b="31818"/>
        <a:stretch>
          <a:fillRect/>
        </a:stretch>
      </xdr:blipFill>
      <xdr:spPr bwMode="auto">
        <a:xfrm>
          <a:off x="685800" y="47625"/>
          <a:ext cx="160972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228600</xdr:colOff>
      <xdr:row>0</xdr:row>
      <xdr:rowOff>138960</xdr:rowOff>
    </xdr:from>
    <xdr:to>
      <xdr:col>4</xdr:col>
      <xdr:colOff>2495550</xdr:colOff>
      <xdr:row>0</xdr:row>
      <xdr:rowOff>1304925</xdr:rowOff>
    </xdr:to>
    <xdr:pic>
      <xdr:nvPicPr>
        <xdr:cNvPr id="3" name="Imagem 6">
          <a:extLst>
            <a:ext uri="{FF2B5EF4-FFF2-40B4-BE49-F238E27FC236}">
              <a16:creationId xmlns:a16="http://schemas.microsoft.com/office/drawing/2014/main" id="{1E405EE7-D8AC-44CA-BFBB-B3497DCD7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5525" y="138960"/>
          <a:ext cx="3114675" cy="1165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681483</xdr:colOff>
      <xdr:row>0</xdr:row>
      <xdr:rowOff>161924</xdr:rowOff>
    </xdr:from>
    <xdr:to>
      <xdr:col>9</xdr:col>
      <xdr:colOff>962024</xdr:colOff>
      <xdr:row>0</xdr:row>
      <xdr:rowOff>1295399</xdr:rowOff>
    </xdr:to>
    <xdr:pic>
      <xdr:nvPicPr>
        <xdr:cNvPr id="4" name="Imagem 4">
          <a:extLst>
            <a:ext uri="{FF2B5EF4-FFF2-40B4-BE49-F238E27FC236}">
              <a16:creationId xmlns:a16="http://schemas.microsoft.com/office/drawing/2014/main" id="{8DB9DC62-F723-4181-BF4A-269428FC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8508" y="161924"/>
          <a:ext cx="1328291" cy="113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47625</xdr:rowOff>
    </xdr:from>
    <xdr:to>
      <xdr:col>1</xdr:col>
      <xdr:colOff>739775</xdr:colOff>
      <xdr:row>0</xdr:row>
      <xdr:rowOff>1485900</xdr:rowOff>
    </xdr:to>
    <xdr:pic>
      <xdr:nvPicPr>
        <xdr:cNvPr id="2" name="Imagem 4">
          <a:extLst>
            <a:ext uri="{FF2B5EF4-FFF2-40B4-BE49-F238E27FC236}">
              <a16:creationId xmlns:a16="http://schemas.microsoft.com/office/drawing/2014/main" id="{B47FBFF5-D5B2-4B83-9806-70227B2D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897" t="27599" r="25648" b="31818"/>
        <a:stretch>
          <a:fillRect/>
        </a:stretch>
      </xdr:blipFill>
      <xdr:spPr bwMode="auto">
        <a:xfrm>
          <a:off x="111125" y="47625"/>
          <a:ext cx="159702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739775</xdr:colOff>
      <xdr:row>0</xdr:row>
      <xdr:rowOff>167535</xdr:rowOff>
    </xdr:from>
    <xdr:to>
      <xdr:col>3</xdr:col>
      <xdr:colOff>212725</xdr:colOff>
      <xdr:row>0</xdr:row>
      <xdr:rowOff>1333500</xdr:rowOff>
    </xdr:to>
    <xdr:pic>
      <xdr:nvPicPr>
        <xdr:cNvPr id="3" name="Imagem 6">
          <a:extLst>
            <a:ext uri="{FF2B5EF4-FFF2-40B4-BE49-F238E27FC236}">
              <a16:creationId xmlns:a16="http://schemas.microsoft.com/office/drawing/2014/main" id="{19732815-4F4B-46CE-95D1-D969DF352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8150" y="167535"/>
          <a:ext cx="3108325" cy="1165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523875</xdr:colOff>
      <xdr:row>0</xdr:row>
      <xdr:rowOff>133350</xdr:rowOff>
    </xdr:from>
    <xdr:to>
      <xdr:col>12</xdr:col>
      <xdr:colOff>899666</xdr:colOff>
      <xdr:row>0</xdr:row>
      <xdr:rowOff>1266825</xdr:rowOff>
    </xdr:to>
    <xdr:pic>
      <xdr:nvPicPr>
        <xdr:cNvPr id="4" name="Imagem 4">
          <a:extLst>
            <a:ext uri="{FF2B5EF4-FFF2-40B4-BE49-F238E27FC236}">
              <a16:creationId xmlns:a16="http://schemas.microsoft.com/office/drawing/2014/main" id="{3737EBCC-65D2-4D1E-9A67-8275FC9BA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96825" y="133350"/>
          <a:ext cx="1328291" cy="113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20"/>
  <sheetViews>
    <sheetView view="pageBreakPreview" topLeftCell="E1" zoomScaleNormal="100" zoomScaleSheetLayoutView="100" workbookViewId="0">
      <selection activeCell="E25" sqref="E25"/>
    </sheetView>
  </sheetViews>
  <sheetFormatPr defaultRowHeight="15" x14ac:dyDescent="0.25"/>
  <cols>
    <col min="1" max="1" width="32.85546875" style="35" bestFit="1" customWidth="1"/>
    <col min="2" max="2" width="60.42578125" style="74" customWidth="1"/>
    <col min="3" max="3" width="55.5703125" style="35" bestFit="1" customWidth="1"/>
    <col min="4" max="5" width="48.42578125" style="35" customWidth="1"/>
    <col min="10" max="10" width="10.28515625" bestFit="1" customWidth="1"/>
    <col min="11" max="11" width="10.85546875" customWidth="1"/>
    <col min="12" max="12" width="10.28515625" bestFit="1" customWidth="1"/>
    <col min="15" max="15" width="10.28515625" bestFit="1" customWidth="1"/>
    <col min="16" max="16" width="10.85546875" customWidth="1"/>
    <col min="17" max="17" width="10.28515625" bestFit="1" customWidth="1"/>
    <col min="20" max="20" width="10.28515625" bestFit="1" customWidth="1"/>
    <col min="21" max="21" width="10.85546875" customWidth="1"/>
    <col min="22" max="22" width="10.28515625" bestFit="1" customWidth="1"/>
    <col min="25" max="25" width="10.28515625" bestFit="1" customWidth="1"/>
    <col min="26" max="26" width="10.85546875" customWidth="1"/>
    <col min="27" max="27" width="10.28515625" bestFit="1" customWidth="1"/>
    <col min="30" max="30" width="10.28515625" bestFit="1" customWidth="1"/>
    <col min="31" max="31" width="10.85546875" customWidth="1"/>
    <col min="32" max="32" width="10.28515625" bestFit="1" customWidth="1"/>
    <col min="35" max="35" width="10.28515625" bestFit="1" customWidth="1"/>
    <col min="36" max="36" width="10.85546875" customWidth="1"/>
    <col min="37" max="37" width="10.28515625" bestFit="1" customWidth="1"/>
    <col min="45" max="45" width="25.28515625" bestFit="1" customWidth="1"/>
  </cols>
  <sheetData>
    <row r="1" spans="1:46" x14ac:dyDescent="0.25">
      <c r="A1" s="95" t="s">
        <v>65</v>
      </c>
      <c r="B1" s="95" t="s">
        <v>125</v>
      </c>
      <c r="C1" s="95" t="s">
        <v>126</v>
      </c>
      <c r="D1" s="95" t="s">
        <v>127</v>
      </c>
      <c r="E1" s="95" t="s">
        <v>138</v>
      </c>
      <c r="F1" s="73" t="s">
        <v>51</v>
      </c>
      <c r="H1" s="121"/>
      <c r="I1" s="85"/>
      <c r="J1" s="146" t="s">
        <v>128</v>
      </c>
      <c r="K1" s="147"/>
      <c r="L1" s="148"/>
      <c r="M1" s="85"/>
      <c r="N1" s="85"/>
      <c r="O1" s="146" t="s">
        <v>129</v>
      </c>
      <c r="P1" s="147"/>
      <c r="Q1" s="148"/>
      <c r="R1" s="85"/>
      <c r="S1" s="85"/>
      <c r="T1" s="143" t="s">
        <v>132</v>
      </c>
      <c r="U1" s="144"/>
      <c r="V1" s="145"/>
      <c r="W1" s="85"/>
      <c r="X1" s="85"/>
      <c r="Y1" s="143" t="s">
        <v>130</v>
      </c>
      <c r="Z1" s="144"/>
      <c r="AA1" s="145"/>
      <c r="AB1" s="85"/>
      <c r="AC1" s="85"/>
      <c r="AD1" s="143" t="s">
        <v>131</v>
      </c>
      <c r="AE1" s="144"/>
      <c r="AF1" s="145"/>
      <c r="AG1" s="85"/>
      <c r="AH1" s="85"/>
      <c r="AI1" s="143" t="s">
        <v>133</v>
      </c>
      <c r="AJ1" s="144"/>
      <c r="AK1" s="145"/>
      <c r="AL1" s="86"/>
    </row>
    <row r="2" spans="1:46" ht="15.75" x14ac:dyDescent="0.25">
      <c r="A2" s="96" t="s">
        <v>66</v>
      </c>
      <c r="B2" s="96" t="s">
        <v>192</v>
      </c>
      <c r="C2" s="96" t="s">
        <v>193</v>
      </c>
      <c r="D2" s="96" t="s">
        <v>67</v>
      </c>
      <c r="E2" s="96" t="s">
        <v>139</v>
      </c>
      <c r="F2" s="75">
        <v>0.05</v>
      </c>
      <c r="H2" s="122"/>
      <c r="J2" s="77" t="s">
        <v>36</v>
      </c>
      <c r="K2" s="36" t="s">
        <v>161</v>
      </c>
      <c r="L2" s="78" t="s">
        <v>37</v>
      </c>
      <c r="O2" s="77" t="s">
        <v>36</v>
      </c>
      <c r="P2" s="36" t="s">
        <v>161</v>
      </c>
      <c r="Q2" s="78" t="s">
        <v>37</v>
      </c>
      <c r="T2" s="77" t="s">
        <v>36</v>
      </c>
      <c r="U2" s="36" t="s">
        <v>161</v>
      </c>
      <c r="V2" s="78" t="s">
        <v>37</v>
      </c>
      <c r="Y2" s="77" t="s">
        <v>36</v>
      </c>
      <c r="Z2" s="36" t="s">
        <v>161</v>
      </c>
      <c r="AA2" s="78" t="s">
        <v>37</v>
      </c>
      <c r="AD2" s="77" t="s">
        <v>36</v>
      </c>
      <c r="AE2" s="36" t="s">
        <v>161</v>
      </c>
      <c r="AF2" s="78" t="s">
        <v>37</v>
      </c>
      <c r="AI2" s="77" t="s">
        <v>36</v>
      </c>
      <c r="AJ2" s="36" t="s">
        <v>161</v>
      </c>
      <c r="AK2" s="78" t="s">
        <v>37</v>
      </c>
      <c r="AL2" s="87"/>
      <c r="AM2" t="s">
        <v>128</v>
      </c>
      <c r="AS2" t="s">
        <v>177</v>
      </c>
      <c r="AT2" t="s">
        <v>178</v>
      </c>
    </row>
    <row r="3" spans="1:46" ht="15.75" x14ac:dyDescent="0.25">
      <c r="A3" s="96" t="s">
        <v>68</v>
      </c>
      <c r="B3" s="96" t="s">
        <v>64</v>
      </c>
      <c r="C3" s="96" t="s">
        <v>69</v>
      </c>
      <c r="D3" s="96" t="s">
        <v>70</v>
      </c>
      <c r="E3" s="96" t="s">
        <v>140</v>
      </c>
      <c r="F3" s="75">
        <v>0.03</v>
      </c>
      <c r="H3" s="122"/>
      <c r="I3" s="84" t="s">
        <v>39</v>
      </c>
      <c r="J3" s="82">
        <v>0.03</v>
      </c>
      <c r="K3" s="41">
        <v>4.4999999999999998E-2</v>
      </c>
      <c r="L3" s="79">
        <v>5.5E-2</v>
      </c>
      <c r="N3" s="84" t="s">
        <v>39</v>
      </c>
      <c r="O3" s="82">
        <v>3.7999999999999999E-2</v>
      </c>
      <c r="P3" s="127">
        <v>4.6699999999999998E-2</v>
      </c>
      <c r="Q3" s="79">
        <v>4.6699999999999998E-2</v>
      </c>
      <c r="S3" s="84" t="s">
        <v>39</v>
      </c>
      <c r="T3" s="82">
        <v>3.4299999999999997E-2</v>
      </c>
      <c r="U3" s="41">
        <v>4.9299999999999997E-2</v>
      </c>
      <c r="V3" s="79">
        <v>6.7100000000000007E-2</v>
      </c>
      <c r="X3" s="84" t="s">
        <v>39</v>
      </c>
      <c r="Y3" s="82">
        <v>5.2900000000000003E-2</v>
      </c>
      <c r="Z3" s="41">
        <v>6.2E-2</v>
      </c>
      <c r="AA3" s="79">
        <v>7.9299999999999995E-2</v>
      </c>
      <c r="AC3" s="84" t="s">
        <v>39</v>
      </c>
      <c r="AD3" s="82">
        <v>0.04</v>
      </c>
      <c r="AE3" s="41">
        <v>5.5199999999999999E-2</v>
      </c>
      <c r="AF3" s="79">
        <v>7.85E-2</v>
      </c>
      <c r="AH3" s="84" t="s">
        <v>39</v>
      </c>
      <c r="AI3" s="82">
        <v>1.4999999999999999E-2</v>
      </c>
      <c r="AJ3" s="41">
        <v>1.4999999999999999E-2</v>
      </c>
      <c r="AK3" s="79">
        <v>4.4900000000000002E-2</v>
      </c>
      <c r="AL3" s="87"/>
      <c r="AM3" t="s">
        <v>129</v>
      </c>
      <c r="AS3" t="s">
        <v>182</v>
      </c>
      <c r="AT3" t="s">
        <v>179</v>
      </c>
    </row>
    <row r="4" spans="1:46" ht="15.75" x14ac:dyDescent="0.25">
      <c r="A4" s="96" t="s">
        <v>71</v>
      </c>
      <c r="B4" s="96" t="s">
        <v>72</v>
      </c>
      <c r="C4" s="96" t="s">
        <v>73</v>
      </c>
      <c r="D4" s="96" t="s">
        <v>74</v>
      </c>
      <c r="E4" s="96" t="s">
        <v>141</v>
      </c>
      <c r="F4" s="75">
        <v>0.05</v>
      </c>
      <c r="H4" s="122"/>
      <c r="I4" s="84" t="s">
        <v>41</v>
      </c>
      <c r="J4" s="82">
        <v>8.0000000000000002E-3</v>
      </c>
      <c r="K4" s="41">
        <v>8.0000000000000002E-3</v>
      </c>
      <c r="L4" s="79">
        <v>0.01</v>
      </c>
      <c r="N4" s="84" t="s">
        <v>41</v>
      </c>
      <c r="O4" s="82">
        <v>3.2000000000000002E-3</v>
      </c>
      <c r="P4" s="41">
        <v>6.0000000000000001E-3</v>
      </c>
      <c r="Q4" s="79">
        <v>7.4000000000000003E-3</v>
      </c>
      <c r="S4" s="84" t="s">
        <v>41</v>
      </c>
      <c r="T4" s="82">
        <v>2.8E-3</v>
      </c>
      <c r="U4" s="41">
        <v>4.8999999999999998E-3</v>
      </c>
      <c r="V4" s="126">
        <v>7.4999999999999997E-3</v>
      </c>
      <c r="X4" s="84" t="s">
        <v>41</v>
      </c>
      <c r="Y4" s="82">
        <v>2.5000000000000001E-3</v>
      </c>
      <c r="Z4" s="41">
        <v>5.1000000000000004E-3</v>
      </c>
      <c r="AA4" s="79">
        <v>5.5999999999999999E-3</v>
      </c>
      <c r="AC4" s="84" t="s">
        <v>41</v>
      </c>
      <c r="AD4" s="82">
        <v>8.0999999999999996E-3</v>
      </c>
      <c r="AE4" s="41">
        <v>1.2200000000000001E-2</v>
      </c>
      <c r="AF4" s="79">
        <v>1.9900000000000001E-2</v>
      </c>
      <c r="AH4" s="84" t="s">
        <v>41</v>
      </c>
      <c r="AI4" s="82">
        <v>3.0000000000000001E-3</v>
      </c>
      <c r="AJ4" s="41">
        <v>3.0000000000000001E-3</v>
      </c>
      <c r="AK4" s="79">
        <v>8.2000000000000007E-3</v>
      </c>
      <c r="AL4" s="87"/>
      <c r="AM4" t="s">
        <v>132</v>
      </c>
      <c r="AS4" t="s">
        <v>183</v>
      </c>
      <c r="AT4" t="s">
        <v>184</v>
      </c>
    </row>
    <row r="5" spans="1:46" ht="15.75" x14ac:dyDescent="0.25">
      <c r="A5" s="96" t="s">
        <v>75</v>
      </c>
      <c r="B5" s="96" t="s">
        <v>76</v>
      </c>
      <c r="C5" s="96" t="s">
        <v>77</v>
      </c>
      <c r="D5" s="96" t="s">
        <v>78</v>
      </c>
      <c r="E5" s="96" t="s">
        <v>146</v>
      </c>
      <c r="F5" s="75">
        <v>0.05</v>
      </c>
      <c r="H5" s="122"/>
      <c r="I5" s="84" t="s">
        <v>43</v>
      </c>
      <c r="J5" s="82">
        <v>9.7000000000000003E-3</v>
      </c>
      <c r="K5" s="41">
        <v>1.06E-2</v>
      </c>
      <c r="L5" s="79">
        <v>1.2699999999999999E-2</v>
      </c>
      <c r="N5" s="84" t="s">
        <v>43</v>
      </c>
      <c r="O5" s="82">
        <v>5.0000000000000001E-3</v>
      </c>
      <c r="P5" s="41">
        <v>8.0000000000000002E-3</v>
      </c>
      <c r="Q5" s="79">
        <v>9.7000000000000003E-3</v>
      </c>
      <c r="S5" s="84" t="s">
        <v>43</v>
      </c>
      <c r="T5" s="82">
        <v>0.01</v>
      </c>
      <c r="U5" s="41">
        <v>1.3899999999999999E-2</v>
      </c>
      <c r="V5" s="79">
        <v>1.7399999999999999E-2</v>
      </c>
      <c r="X5" s="84" t="s">
        <v>43</v>
      </c>
      <c r="Y5" s="82">
        <v>0.01</v>
      </c>
      <c r="Z5" s="41">
        <v>1.4800000000000001E-2</v>
      </c>
      <c r="AA5" s="79">
        <v>1.9699999999999999E-2</v>
      </c>
      <c r="AC5" s="84" t="s">
        <v>43</v>
      </c>
      <c r="AD5" s="82">
        <v>1.46E-2</v>
      </c>
      <c r="AE5" s="41">
        <v>2.3199999999999998E-2</v>
      </c>
      <c r="AF5" s="79">
        <v>3.1600000000000003E-2</v>
      </c>
      <c r="AH5" s="84" t="s">
        <v>43</v>
      </c>
      <c r="AI5" s="82">
        <v>5.5999999999999999E-3</v>
      </c>
      <c r="AJ5" s="41">
        <v>5.5999999999999999E-3</v>
      </c>
      <c r="AK5" s="79">
        <v>8.8999999999999999E-3</v>
      </c>
      <c r="AL5" s="87"/>
      <c r="AM5" t="s">
        <v>130</v>
      </c>
      <c r="AS5" t="s">
        <v>187</v>
      </c>
      <c r="AT5" t="s">
        <v>180</v>
      </c>
    </row>
    <row r="6" spans="1:46" ht="15.75" x14ac:dyDescent="0.25">
      <c r="A6" s="96" t="s">
        <v>79</v>
      </c>
      <c r="B6" s="96" t="s">
        <v>80</v>
      </c>
      <c r="C6" s="96" t="s">
        <v>81</v>
      </c>
      <c r="D6" s="96" t="s">
        <v>82</v>
      </c>
      <c r="E6" s="96" t="s">
        <v>147</v>
      </c>
      <c r="F6" s="75">
        <v>0.02</v>
      </c>
      <c r="H6" s="122"/>
      <c r="I6" s="84" t="s">
        <v>45</v>
      </c>
      <c r="J6" s="82">
        <v>5.8999999999999999E-3</v>
      </c>
      <c r="K6" s="41">
        <v>1.23E-2</v>
      </c>
      <c r="L6" s="79">
        <v>1.3899999999999999E-2</v>
      </c>
      <c r="N6" s="84" t="s">
        <v>45</v>
      </c>
      <c r="O6" s="82">
        <v>1.0200000000000001E-2</v>
      </c>
      <c r="P6" s="41">
        <v>1.11E-2</v>
      </c>
      <c r="Q6" s="79">
        <v>1.21E-2</v>
      </c>
      <c r="S6" s="84" t="s">
        <v>45</v>
      </c>
      <c r="T6" s="82">
        <v>9.4000000000000004E-3</v>
      </c>
      <c r="U6" s="41">
        <v>9.9000000000000008E-3</v>
      </c>
      <c r="V6" s="79">
        <v>1.17E-2</v>
      </c>
      <c r="X6" s="84" t="s">
        <v>45</v>
      </c>
      <c r="Y6" s="82">
        <v>1.01E-2</v>
      </c>
      <c r="Z6" s="41">
        <v>1.0699999999999999E-2</v>
      </c>
      <c r="AA6" s="79">
        <v>1.11E-2</v>
      </c>
      <c r="AC6" s="84" t="s">
        <v>45</v>
      </c>
      <c r="AD6" s="82">
        <v>9.4000000000000004E-3</v>
      </c>
      <c r="AE6" s="41">
        <v>1.0200000000000001E-2</v>
      </c>
      <c r="AF6" s="79">
        <v>1.3299999999999999E-2</v>
      </c>
      <c r="AH6" s="84" t="s">
        <v>45</v>
      </c>
      <c r="AI6" s="82">
        <v>8.5000000000000006E-3</v>
      </c>
      <c r="AJ6" s="41">
        <v>8.5000000000000006E-3</v>
      </c>
      <c r="AK6" s="79">
        <v>1.11E-2</v>
      </c>
      <c r="AL6" s="87"/>
      <c r="AM6" t="s">
        <v>131</v>
      </c>
      <c r="AS6" t="s">
        <v>26</v>
      </c>
      <c r="AT6" t="s">
        <v>181</v>
      </c>
    </row>
    <row r="7" spans="1:46" ht="15.75" x14ac:dyDescent="0.25">
      <c r="A7" s="96" t="s">
        <v>169</v>
      </c>
      <c r="B7" s="96" t="s">
        <v>170</v>
      </c>
      <c r="C7" s="96" t="s">
        <v>171</v>
      </c>
      <c r="D7" s="96" t="s">
        <v>172</v>
      </c>
      <c r="E7" s="96" t="s">
        <v>173</v>
      </c>
      <c r="F7" s="75">
        <v>0.05</v>
      </c>
      <c r="H7" s="122"/>
      <c r="I7" s="84" t="s">
        <v>47</v>
      </c>
      <c r="J7" s="82">
        <v>6.1600000000000002E-2</v>
      </c>
      <c r="K7" s="41">
        <v>7.400000000000001E-2</v>
      </c>
      <c r="L7" s="79">
        <v>8.9600000000000013E-2</v>
      </c>
      <c r="N7" s="84" t="s">
        <v>47</v>
      </c>
      <c r="O7" s="82">
        <v>6.6400000000000001E-2</v>
      </c>
      <c r="P7" s="41">
        <v>0.08</v>
      </c>
      <c r="Q7" s="79">
        <v>8.6900000000000005E-2</v>
      </c>
      <c r="S7" s="84" t="s">
        <v>47</v>
      </c>
      <c r="T7" s="82">
        <v>6.7400000000000002E-2</v>
      </c>
      <c r="U7" s="41">
        <v>8.0399999999999999E-2</v>
      </c>
      <c r="V7" s="79">
        <v>9.4E-2</v>
      </c>
      <c r="X7" s="84" t="s">
        <v>47</v>
      </c>
      <c r="Y7" s="82">
        <v>0.08</v>
      </c>
      <c r="Z7" s="41">
        <v>8.3099999999999993E-2</v>
      </c>
      <c r="AA7" s="79">
        <v>9.5100000000000004E-2</v>
      </c>
      <c r="AC7" s="84" t="s">
        <v>47</v>
      </c>
      <c r="AD7" s="82">
        <v>7.1400000000000005E-2</v>
      </c>
      <c r="AE7" s="41">
        <v>8.4000000000000005E-2</v>
      </c>
      <c r="AF7" s="79">
        <v>0.1043</v>
      </c>
      <c r="AH7" s="84" t="s">
        <v>47</v>
      </c>
      <c r="AI7" s="82">
        <v>3.5000000000000003E-2</v>
      </c>
      <c r="AJ7" s="41">
        <v>3.5000000000000003E-2</v>
      </c>
      <c r="AK7" s="79">
        <v>6.2199999999999998E-2</v>
      </c>
      <c r="AL7" s="87"/>
      <c r="AM7" t="s">
        <v>133</v>
      </c>
      <c r="AS7" t="s">
        <v>185</v>
      </c>
      <c r="AT7" t="s">
        <v>186</v>
      </c>
    </row>
    <row r="8" spans="1:46" ht="15.75" x14ac:dyDescent="0.25">
      <c r="A8" s="96" t="s">
        <v>83</v>
      </c>
      <c r="B8" s="96" t="s">
        <v>84</v>
      </c>
      <c r="C8" s="96" t="s">
        <v>85</v>
      </c>
      <c r="D8" s="96" t="s">
        <v>86</v>
      </c>
      <c r="E8" s="96" t="s">
        <v>142</v>
      </c>
      <c r="F8" s="75">
        <v>0.05</v>
      </c>
      <c r="G8" s="112" t="s">
        <v>157</v>
      </c>
      <c r="H8" s="125"/>
      <c r="I8" s="84" t="s">
        <v>49</v>
      </c>
      <c r="J8" s="82">
        <v>3.6499999999999998E-2</v>
      </c>
      <c r="K8" s="41">
        <v>3.6499999999999998E-2</v>
      </c>
      <c r="L8" s="79">
        <v>3.6499999999999998E-2</v>
      </c>
      <c r="N8" s="84" t="s">
        <v>49</v>
      </c>
      <c r="O8" s="82">
        <v>3.6499999999999998E-2</v>
      </c>
      <c r="P8" s="41">
        <v>3.6499999999999998E-2</v>
      </c>
      <c r="Q8" s="79">
        <v>3.6499999999999998E-2</v>
      </c>
      <c r="S8" s="84" t="s">
        <v>49</v>
      </c>
      <c r="T8" s="82">
        <v>3.6499999999999998E-2</v>
      </c>
      <c r="U8" s="41">
        <v>3.6499999999999998E-2</v>
      </c>
      <c r="V8" s="79">
        <v>3.6499999999999998E-2</v>
      </c>
      <c r="X8" s="84" t="s">
        <v>49</v>
      </c>
      <c r="Y8" s="82">
        <v>3.6499999999999998E-2</v>
      </c>
      <c r="Z8" s="41">
        <v>3.6499999999999998E-2</v>
      </c>
      <c r="AA8" s="79">
        <v>3.6499999999999998E-2</v>
      </c>
      <c r="AC8" s="84" t="s">
        <v>49</v>
      </c>
      <c r="AD8" s="82">
        <v>3.6499999999999998E-2</v>
      </c>
      <c r="AE8" s="41">
        <v>3.6499999999999998E-2</v>
      </c>
      <c r="AF8" s="79">
        <v>3.6499999999999998E-2</v>
      </c>
      <c r="AH8" s="84" t="s">
        <v>49</v>
      </c>
      <c r="AI8" s="82">
        <v>3.6499999999999998E-2</v>
      </c>
      <c r="AJ8" s="41">
        <v>3.6499999999999998E-2</v>
      </c>
      <c r="AK8" s="79">
        <v>3.6499999999999998E-2</v>
      </c>
      <c r="AL8" s="87"/>
    </row>
    <row r="9" spans="1:46" ht="15.75" x14ac:dyDescent="0.25">
      <c r="A9" s="96" t="s">
        <v>87</v>
      </c>
      <c r="B9" s="96" t="s">
        <v>88</v>
      </c>
      <c r="C9" s="96" t="s">
        <v>89</v>
      </c>
      <c r="D9" s="96" t="s">
        <v>90</v>
      </c>
      <c r="E9" s="96" t="s">
        <v>143</v>
      </c>
      <c r="F9" s="75">
        <v>0.03</v>
      </c>
      <c r="G9" s="112" t="s">
        <v>158</v>
      </c>
      <c r="H9" s="125"/>
      <c r="I9" s="84" t="s">
        <v>51</v>
      </c>
      <c r="J9" s="82">
        <f>BDI!$C$12*BDI!$C$11</f>
        <v>2.5000000000000001E-2</v>
      </c>
      <c r="K9" s="41">
        <f>BDI!$C$12*BDI!$C$11</f>
        <v>2.5000000000000001E-2</v>
      </c>
      <c r="L9" s="79">
        <f>BDI!$C$12*BDI!$C$11</f>
        <v>2.5000000000000001E-2</v>
      </c>
      <c r="N9" s="84" t="s">
        <v>51</v>
      </c>
      <c r="O9" s="82">
        <f>BDI!$C$12*BDI!$C$11</f>
        <v>2.5000000000000001E-2</v>
      </c>
      <c r="P9" s="41">
        <f>BDI!$C$12*BDI!$C$11</f>
        <v>2.5000000000000001E-2</v>
      </c>
      <c r="Q9" s="79">
        <f>BDI!$C$12*BDI!$C$11</f>
        <v>2.5000000000000001E-2</v>
      </c>
      <c r="S9" s="84" t="s">
        <v>51</v>
      </c>
      <c r="T9" s="82">
        <f>BDI!$C$12*BDI!$C$11</f>
        <v>2.5000000000000001E-2</v>
      </c>
      <c r="U9" s="41">
        <f>BDI!$C$12*BDI!$C$11</f>
        <v>2.5000000000000001E-2</v>
      </c>
      <c r="V9" s="79">
        <f>BDI!$C$12*BDI!$C$11</f>
        <v>2.5000000000000001E-2</v>
      </c>
      <c r="X9" s="84" t="s">
        <v>51</v>
      </c>
      <c r="Y9" s="82">
        <f>BDI!$C$12*BDI!$C$11</f>
        <v>2.5000000000000001E-2</v>
      </c>
      <c r="Z9" s="41">
        <f>BDI!$C$12*BDI!$C$11</f>
        <v>2.5000000000000001E-2</v>
      </c>
      <c r="AA9" s="79">
        <f>BDI!$C$12*BDI!$C$11</f>
        <v>2.5000000000000001E-2</v>
      </c>
      <c r="AC9" s="84" t="s">
        <v>51</v>
      </c>
      <c r="AD9" s="82">
        <f>BDI!$C$12*BDI!$C$11</f>
        <v>2.5000000000000001E-2</v>
      </c>
      <c r="AE9" s="41">
        <f>BDI!$C$12*BDI!$C$11</f>
        <v>2.5000000000000001E-2</v>
      </c>
      <c r="AF9" s="79">
        <f>BDI!$C$12*BDI!$C$11</f>
        <v>2.5000000000000001E-2</v>
      </c>
      <c r="AH9" s="84" t="s">
        <v>51</v>
      </c>
      <c r="AI9" s="82">
        <f>BDI!$C$12*BDI!$C$11</f>
        <v>2.5000000000000001E-2</v>
      </c>
      <c r="AJ9" s="41">
        <f>BDI!$C$12*BDI!$C$11</f>
        <v>2.5000000000000001E-2</v>
      </c>
      <c r="AK9" s="79">
        <f>BDI!$C$12*BDI!$C$11</f>
        <v>2.5000000000000001E-2</v>
      </c>
      <c r="AL9" s="87"/>
    </row>
    <row r="10" spans="1:46" ht="15.75" x14ac:dyDescent="0.25">
      <c r="A10" s="96" t="s">
        <v>188</v>
      </c>
      <c r="B10" s="96" t="s">
        <v>189</v>
      </c>
      <c r="C10" s="96" t="s">
        <v>190</v>
      </c>
      <c r="D10" s="96" t="s">
        <v>91</v>
      </c>
      <c r="E10" s="96" t="s">
        <v>148</v>
      </c>
      <c r="F10" s="75">
        <v>0.03</v>
      </c>
      <c r="G10" s="112" t="s">
        <v>159</v>
      </c>
      <c r="H10" s="122"/>
      <c r="I10" s="84" t="s">
        <v>53</v>
      </c>
      <c r="J10" s="82">
        <v>0</v>
      </c>
      <c r="K10" s="41">
        <v>4.4999999999999998E-2</v>
      </c>
      <c r="L10" s="79">
        <v>4.4999999999999998E-2</v>
      </c>
      <c r="N10" s="84" t="s">
        <v>53</v>
      </c>
      <c r="O10" s="82">
        <v>0</v>
      </c>
      <c r="P10" s="41">
        <v>4.4999999999999998E-2</v>
      </c>
      <c r="Q10" s="79">
        <v>4.4999999999999998E-2</v>
      </c>
      <c r="S10" s="84" t="s">
        <v>53</v>
      </c>
      <c r="T10" s="82">
        <v>0</v>
      </c>
      <c r="U10" s="41">
        <v>4.4999999999999998E-2</v>
      </c>
      <c r="V10" s="79">
        <v>4.4999999999999998E-2</v>
      </c>
      <c r="X10" s="84" t="s">
        <v>53</v>
      </c>
      <c r="Y10" s="82">
        <v>0</v>
      </c>
      <c r="Z10" s="41">
        <v>4.4999999999999998E-2</v>
      </c>
      <c r="AA10" s="79">
        <v>4.4999999999999998E-2</v>
      </c>
      <c r="AC10" s="84" t="s">
        <v>53</v>
      </c>
      <c r="AD10" s="82">
        <v>0</v>
      </c>
      <c r="AE10" s="41">
        <v>4.4999999999999998E-2</v>
      </c>
      <c r="AF10" s="79">
        <v>4.4999999999999998E-2</v>
      </c>
      <c r="AH10" s="84" t="s">
        <v>53</v>
      </c>
      <c r="AI10" s="82">
        <v>0</v>
      </c>
      <c r="AJ10" s="41">
        <v>4.4999999999999998E-2</v>
      </c>
      <c r="AK10" s="79">
        <v>4.4999999999999998E-2</v>
      </c>
      <c r="AL10" s="87"/>
      <c r="AM10" t="s">
        <v>135</v>
      </c>
    </row>
    <row r="11" spans="1:46" ht="15.75" x14ac:dyDescent="0.25">
      <c r="A11" s="96" t="s">
        <v>92</v>
      </c>
      <c r="B11" s="96" t="s">
        <v>93</v>
      </c>
      <c r="C11" s="96" t="s">
        <v>94</v>
      </c>
      <c r="D11" s="96" t="s">
        <v>95</v>
      </c>
      <c r="E11" s="96" t="s">
        <v>149</v>
      </c>
      <c r="F11" s="75">
        <v>0.05</v>
      </c>
      <c r="G11" s="112" t="s">
        <v>160</v>
      </c>
      <c r="H11" s="125"/>
      <c r="J11" s="82"/>
      <c r="K11" s="41"/>
      <c r="L11" s="79"/>
      <c r="O11" s="82"/>
      <c r="P11" s="41"/>
      <c r="Q11" s="79"/>
      <c r="T11" s="82"/>
      <c r="U11" s="41"/>
      <c r="V11" s="79"/>
      <c r="Y11" s="82"/>
      <c r="Z11" s="41"/>
      <c r="AA11" s="79"/>
      <c r="AD11" s="82"/>
      <c r="AE11" s="41"/>
      <c r="AF11" s="79"/>
      <c r="AI11" s="82"/>
      <c r="AJ11" s="41"/>
      <c r="AK11" s="79"/>
      <c r="AL11" s="87"/>
      <c r="AM11" t="s">
        <v>136</v>
      </c>
    </row>
    <row r="12" spans="1:46" ht="16.5" thickBot="1" x14ac:dyDescent="0.3">
      <c r="A12" s="96" t="s">
        <v>96</v>
      </c>
      <c r="B12" s="96" t="s">
        <v>97</v>
      </c>
      <c r="C12" s="96" t="s">
        <v>98</v>
      </c>
      <c r="D12" s="96" t="s">
        <v>99</v>
      </c>
      <c r="E12" s="96" t="s">
        <v>150</v>
      </c>
      <c r="F12" s="75">
        <v>0.02</v>
      </c>
      <c r="H12" s="122"/>
      <c r="J12" s="83"/>
      <c r="K12" s="80"/>
      <c r="L12" s="81"/>
      <c r="O12" s="83"/>
      <c r="P12" s="80"/>
      <c r="Q12" s="81"/>
      <c r="T12" s="83"/>
      <c r="U12" s="80"/>
      <c r="V12" s="81"/>
      <c r="Y12" s="83"/>
      <c r="Z12" s="80"/>
      <c r="AA12" s="81"/>
      <c r="AD12" s="83"/>
      <c r="AE12" s="80"/>
      <c r="AF12" s="81"/>
      <c r="AI12" s="83"/>
      <c r="AJ12" s="80"/>
      <c r="AK12" s="81"/>
      <c r="AL12" s="87"/>
    </row>
    <row r="13" spans="1:46" x14ac:dyDescent="0.25">
      <c r="A13" s="96" t="s">
        <v>100</v>
      </c>
      <c r="B13" s="96" t="s">
        <v>101</v>
      </c>
      <c r="C13" s="96" t="s">
        <v>102</v>
      </c>
      <c r="D13" s="96" t="s">
        <v>103</v>
      </c>
      <c r="E13" s="96" t="s">
        <v>151</v>
      </c>
      <c r="F13" s="75">
        <v>0.02</v>
      </c>
      <c r="H13" s="125"/>
      <c r="AL13" s="87"/>
    </row>
    <row r="14" spans="1:46" x14ac:dyDescent="0.25">
      <c r="A14" s="96" t="s">
        <v>104</v>
      </c>
      <c r="B14" s="96" t="s">
        <v>105</v>
      </c>
      <c r="C14" s="96" t="s">
        <v>106</v>
      </c>
      <c r="D14" s="96" t="s">
        <v>107</v>
      </c>
      <c r="E14" s="96" t="s">
        <v>144</v>
      </c>
      <c r="F14" s="75">
        <v>0.02</v>
      </c>
      <c r="H14" s="125"/>
      <c r="AL14" s="87"/>
    </row>
    <row r="15" spans="1:46" x14ac:dyDescent="0.25">
      <c r="A15" s="96" t="s">
        <v>108</v>
      </c>
      <c r="B15" s="96" t="s">
        <v>109</v>
      </c>
      <c r="C15" s="96" t="s">
        <v>110</v>
      </c>
      <c r="D15" s="96" t="s">
        <v>111</v>
      </c>
      <c r="E15" s="96" t="s">
        <v>145</v>
      </c>
      <c r="F15" s="75">
        <v>0.05</v>
      </c>
      <c r="H15" s="122"/>
      <c r="AL15" s="87"/>
    </row>
    <row r="16" spans="1:46" x14ac:dyDescent="0.25">
      <c r="A16" s="96" t="s">
        <v>112</v>
      </c>
      <c r="B16" s="96" t="s">
        <v>194</v>
      </c>
      <c r="C16" s="96" t="s">
        <v>195</v>
      </c>
      <c r="D16" s="96" t="s">
        <v>113</v>
      </c>
      <c r="E16" s="96" t="s">
        <v>152</v>
      </c>
      <c r="F16" s="75">
        <v>0.02</v>
      </c>
      <c r="H16" s="125"/>
      <c r="K16" s="113"/>
      <c r="AL16" s="87"/>
    </row>
    <row r="17" spans="1:38" ht="15.75" thickBot="1" x14ac:dyDescent="0.3">
      <c r="A17" s="96" t="s">
        <v>114</v>
      </c>
      <c r="B17" s="96" t="s">
        <v>115</v>
      </c>
      <c r="C17" s="96" t="s">
        <v>116</v>
      </c>
      <c r="D17" s="96" t="s">
        <v>117</v>
      </c>
      <c r="E17" s="96" t="s">
        <v>153</v>
      </c>
      <c r="F17" s="75">
        <v>0.03</v>
      </c>
      <c r="H17" s="123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9"/>
    </row>
    <row r="18" spans="1:38" x14ac:dyDescent="0.25">
      <c r="A18" s="96" t="s">
        <v>118</v>
      </c>
      <c r="B18" s="96" t="s">
        <v>119</v>
      </c>
      <c r="C18" s="96" t="s">
        <v>120</v>
      </c>
      <c r="D18" s="96" t="s">
        <v>239</v>
      </c>
      <c r="E18" s="96" t="s">
        <v>154</v>
      </c>
      <c r="F18" s="75">
        <v>0.05</v>
      </c>
      <c r="H18" s="124"/>
    </row>
    <row r="19" spans="1:38" x14ac:dyDescent="0.25">
      <c r="A19" s="135" t="s">
        <v>196</v>
      </c>
      <c r="B19" s="135" t="s">
        <v>197</v>
      </c>
      <c r="C19" s="135" t="s">
        <v>198</v>
      </c>
      <c r="D19" s="135" t="s">
        <v>200</v>
      </c>
      <c r="E19" s="135" t="s">
        <v>199</v>
      </c>
      <c r="F19" s="136">
        <v>0.05</v>
      </c>
      <c r="H19" s="124"/>
    </row>
    <row r="20" spans="1:38" ht="15.75" thickBot="1" x14ac:dyDescent="0.3">
      <c r="A20" s="97" t="s">
        <v>121</v>
      </c>
      <c r="B20" s="97" t="s">
        <v>122</v>
      </c>
      <c r="C20" s="97" t="s">
        <v>123</v>
      </c>
      <c r="D20" s="97" t="s">
        <v>124</v>
      </c>
      <c r="E20" s="97" t="s">
        <v>155</v>
      </c>
      <c r="F20" s="76">
        <v>0.05</v>
      </c>
      <c r="H20" s="124"/>
    </row>
  </sheetData>
  <sheetProtection selectLockedCells="1" selectUnlockedCells="1"/>
  <mergeCells count="6">
    <mergeCell ref="AI1:AK1"/>
    <mergeCell ref="J1:L1"/>
    <mergeCell ref="O1:Q1"/>
    <mergeCell ref="T1:V1"/>
    <mergeCell ref="Y1:AA1"/>
    <mergeCell ref="AD1:AF1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54"/>
  <sheetViews>
    <sheetView view="pageBreakPreview" zoomScaleNormal="100" zoomScaleSheetLayoutView="100" workbookViewId="0">
      <selection activeCell="B24" sqref="B24"/>
    </sheetView>
  </sheetViews>
  <sheetFormatPr defaultRowHeight="15" x14ac:dyDescent="0.25"/>
  <cols>
    <col min="1" max="1" width="94.42578125" style="101" customWidth="1"/>
    <col min="2" max="2" width="9.140625" style="101"/>
    <col min="3" max="3" width="11.42578125" style="101" customWidth="1"/>
    <col min="4" max="5" width="9.140625" style="101"/>
    <col min="6" max="6" width="18.42578125" style="101" customWidth="1"/>
    <col min="7" max="7" width="10.85546875" style="101" customWidth="1"/>
    <col min="8" max="8" width="10.28515625" style="101" customWidth="1"/>
    <col min="9" max="9" width="11" style="101" customWidth="1"/>
    <col min="10" max="10" width="9.140625" style="101"/>
    <col min="11" max="12" width="11.5703125" style="101" bestFit="1" customWidth="1"/>
    <col min="13" max="16384" width="9.140625" style="101"/>
  </cols>
  <sheetData>
    <row r="1" spans="1:14" ht="26.25" x14ac:dyDescent="0.4">
      <c r="A1" s="153"/>
      <c r="B1" s="153"/>
      <c r="C1" s="153"/>
    </row>
    <row r="2" spans="1:14" s="104" customFormat="1" ht="24.75" customHeight="1" x14ac:dyDescent="0.25">
      <c r="A2" s="154"/>
      <c r="B2" s="154"/>
      <c r="C2" s="154"/>
    </row>
    <row r="3" spans="1:14" s="104" customFormat="1" ht="24.75" customHeight="1" x14ac:dyDescent="0.25">
      <c r="A3" s="154"/>
      <c r="B3" s="154"/>
      <c r="C3" s="154"/>
    </row>
    <row r="4" spans="1:14" s="104" customFormat="1" ht="24.75" customHeight="1" x14ac:dyDescent="0.25">
      <c r="A4" s="154"/>
      <c r="B4" s="154"/>
      <c r="C4" s="154"/>
    </row>
    <row r="5" spans="1:14" ht="24.75" customHeight="1" x14ac:dyDescent="0.25">
      <c r="A5" s="154"/>
      <c r="B5" s="154"/>
      <c r="C5" s="154"/>
      <c r="F5" s="98"/>
      <c r="G5" s="98"/>
      <c r="H5" s="98"/>
      <c r="I5" s="98"/>
      <c r="J5" s="98"/>
      <c r="K5" s="98"/>
      <c r="L5" s="98"/>
      <c r="M5" s="98"/>
      <c r="N5" s="98"/>
    </row>
    <row r="6" spans="1:14" ht="15.75" x14ac:dyDescent="0.25">
      <c r="F6" s="98"/>
      <c r="G6" s="98"/>
      <c r="H6" s="98"/>
      <c r="I6" s="98"/>
      <c r="J6" s="98"/>
      <c r="K6" s="98"/>
      <c r="L6" s="98"/>
      <c r="M6" s="98"/>
      <c r="N6" s="98"/>
    </row>
    <row r="7" spans="1:14" s="103" customFormat="1" ht="20.100000000000001" customHeight="1" x14ac:dyDescent="0.25">
      <c r="A7" s="155" t="s">
        <v>134</v>
      </c>
      <c r="B7" s="155"/>
      <c r="C7" s="155"/>
      <c r="F7" s="98"/>
      <c r="G7" s="98"/>
      <c r="H7" s="98"/>
      <c r="I7" s="98"/>
      <c r="J7" s="98"/>
      <c r="K7" s="98"/>
      <c r="L7" s="98"/>
      <c r="M7" s="98"/>
      <c r="N7" s="98"/>
    </row>
    <row r="8" spans="1:14" s="103" customFormat="1" ht="20.100000000000001" customHeight="1" x14ac:dyDescent="0.25">
      <c r="A8" s="156" t="s">
        <v>129</v>
      </c>
      <c r="B8" s="156"/>
      <c r="C8" s="156"/>
      <c r="F8" s="98"/>
      <c r="G8" s="98"/>
      <c r="H8" s="98"/>
      <c r="I8" s="98"/>
      <c r="J8" s="98"/>
      <c r="K8" s="98"/>
      <c r="L8" s="98"/>
      <c r="M8" s="98"/>
      <c r="N8" s="98"/>
    </row>
    <row r="9" spans="1:14" s="98" customFormat="1" ht="15.75" x14ac:dyDescent="0.25"/>
    <row r="10" spans="1:14" s="98" customFormat="1" ht="15.75" x14ac:dyDescent="0.25"/>
    <row r="11" spans="1:14" s="102" customFormat="1" ht="20.100000000000001" customHeight="1" x14ac:dyDescent="0.25">
      <c r="A11" s="149" t="s">
        <v>31</v>
      </c>
      <c r="B11" s="150"/>
      <c r="C11" s="38">
        <v>0.5</v>
      </c>
      <c r="F11" s="98"/>
      <c r="G11" s="98"/>
      <c r="H11" s="98"/>
      <c r="I11" s="98"/>
      <c r="J11" s="98"/>
      <c r="K11" s="98"/>
      <c r="L11" s="98"/>
      <c r="M11" s="98"/>
      <c r="N11" s="98"/>
    </row>
    <row r="12" spans="1:14" s="102" customFormat="1" ht="20.100000000000001" customHeight="1" x14ac:dyDescent="0.25">
      <c r="A12" s="149" t="s">
        <v>32</v>
      </c>
      <c r="B12" s="150"/>
      <c r="C12" s="38">
        <f>VLOOKUP('P. O.'!B4,DADOS!B:F,5,0)</f>
        <v>0.05</v>
      </c>
      <c r="F12" s="98"/>
      <c r="G12" s="98"/>
      <c r="H12" s="98"/>
      <c r="I12" s="98"/>
      <c r="J12" s="98"/>
      <c r="K12" s="98"/>
      <c r="L12" s="98"/>
      <c r="M12" s="98"/>
      <c r="N12" s="98"/>
    </row>
    <row r="13" spans="1:14" s="98" customFormat="1" ht="15.75" x14ac:dyDescent="0.25"/>
    <row r="14" spans="1:14" s="98" customFormat="1" ht="15.75" x14ac:dyDescent="0.25"/>
    <row r="15" spans="1:14" s="98" customFormat="1" ht="15.75" x14ac:dyDescent="0.25"/>
    <row r="16" spans="1:14" s="98" customFormat="1" ht="38.25" customHeight="1" x14ac:dyDescent="0.25">
      <c r="A16" s="36" t="s">
        <v>33</v>
      </c>
      <c r="B16" s="36" t="s">
        <v>34</v>
      </c>
      <c r="C16" s="39" t="s">
        <v>35</v>
      </c>
    </row>
    <row r="17" spans="1:3" s="98" customFormat="1" ht="20.100000000000001" customHeight="1" x14ac:dyDescent="0.25">
      <c r="A17" s="40" t="s">
        <v>38</v>
      </c>
      <c r="B17" s="40" t="s">
        <v>39</v>
      </c>
      <c r="C17" s="38">
        <f>IF($A$8=DADOS!J1,DADOS!K3,IF($A$8=DADOS!O1,DADOS!P3,IF($A$8=DADOS!T1,DADOS!U3,IF($A$8=DADOS!Y1,DADOS!Z3,IF($A$8=DADOS!AD1,DADOS!AE3,IF($A$8=DADOS!AI1,DADOS!AJ3,0))))))</f>
        <v>4.6699999999999998E-2</v>
      </c>
    </row>
    <row r="18" spans="1:3" s="98" customFormat="1" ht="20.100000000000001" customHeight="1" x14ac:dyDescent="0.25">
      <c r="A18" s="40" t="s">
        <v>40</v>
      </c>
      <c r="B18" s="40" t="s">
        <v>41</v>
      </c>
      <c r="C18" s="38">
        <f>IF($A$8=DADOS!J1,DADOS!K4,IF($A$8=DADOS!O1,DADOS!P4,IF($A$8=DADOS!T1,DADOS!U4,IF($A$8=DADOS!Y1,DADOS!Z4,IF($A$8=DADOS!AD1,DADOS!AE4,IF($A$8=DADOS!AI1,DADOS!AJ4,0))))))</f>
        <v>6.0000000000000001E-3</v>
      </c>
    </row>
    <row r="19" spans="1:3" s="98" customFormat="1" ht="20.100000000000001" customHeight="1" x14ac:dyDescent="0.25">
      <c r="A19" s="40" t="s">
        <v>42</v>
      </c>
      <c r="B19" s="40" t="s">
        <v>43</v>
      </c>
      <c r="C19" s="38">
        <f>IF($A$8=DADOS!J1,DADOS!K5,IF($A$8=DADOS!O1,DADOS!P5,IF($A$8=DADOS!T1,DADOS!U5,IF($A$8=DADOS!Y1,DADOS!Z5,IF($A$8=DADOS!AD1,DADOS!AE5,IF($A$8=DADOS!AI1,DADOS!AJ5,0))))))</f>
        <v>8.0000000000000002E-3</v>
      </c>
    </row>
    <row r="20" spans="1:3" s="98" customFormat="1" ht="20.100000000000001" customHeight="1" x14ac:dyDescent="0.25">
      <c r="A20" s="40" t="s">
        <v>44</v>
      </c>
      <c r="B20" s="40" t="s">
        <v>45</v>
      </c>
      <c r="C20" s="38">
        <f>IF($A$8=DADOS!J1,DADOS!K6,IF($A$8=DADOS!O1,DADOS!P6,IF($A$8=DADOS!T1,DADOS!U6,IF($A$8=DADOS!Y1,DADOS!Z6,IF($A$8=DADOS!AD1,DADOS!AE6,IF($A$8=DADOS!AI1,DADOS!AJ6,0))))))</f>
        <v>1.11E-2</v>
      </c>
    </row>
    <row r="21" spans="1:3" s="98" customFormat="1" ht="20.100000000000001" customHeight="1" x14ac:dyDescent="0.25">
      <c r="A21" s="40" t="s">
        <v>46</v>
      </c>
      <c r="B21" s="40" t="s">
        <v>47</v>
      </c>
      <c r="C21" s="38">
        <f>IF($A$8=DADOS!J1,DADOS!K7,IF($A$8=DADOS!O1,DADOS!P7,IF($A$8=DADOS!T1,DADOS!U7,IF($A$8=DADOS!Y1,DADOS!Z7,IF($A$8=DADOS!AD1,DADOS!AE7,IF($A$8=DADOS!AI1,DADOS!AJ7,0))))))</f>
        <v>0.08</v>
      </c>
    </row>
    <row r="22" spans="1:3" s="98" customFormat="1" ht="20.100000000000001" customHeight="1" x14ac:dyDescent="0.25">
      <c r="A22" s="40" t="s">
        <v>48</v>
      </c>
      <c r="B22" s="40" t="s">
        <v>49</v>
      </c>
      <c r="C22" s="38">
        <f>IF($A$8=DADOS!J1,DADOS!K8,IF($A$8=DADOS!O1,DADOS!P8,IF($A$8=DADOS!T1,DADOS!U8,IF($A$8=DADOS!Y1,DADOS!Z8,IF($A$8=DADOS!AD1,DADOS!AE8,IF($A$8=DADOS!AI1,DADOS!AJ8,0))))))</f>
        <v>3.6499999999999998E-2</v>
      </c>
    </row>
    <row r="23" spans="1:3" s="98" customFormat="1" ht="20.100000000000001" customHeight="1" x14ac:dyDescent="0.25">
      <c r="A23" s="40" t="s">
        <v>50</v>
      </c>
      <c r="B23" s="40" t="s">
        <v>51</v>
      </c>
      <c r="C23" s="38">
        <f>IF($A$8=DADOS!J1,DADOS!L9,IF($A$8=DADOS!O1,DADOS!P9,IF($A$8=DADOS!T1,DADOS!U9,IF($A$8=DADOS!Y1,DADOS!Z9,IF($A$8=DADOS!AD1,DADOS!AE9,IF($A$8=DADOS!AI1,DADOS!AJ9,0))))))</f>
        <v>2.5000000000000001E-2</v>
      </c>
    </row>
    <row r="24" spans="1:3" s="98" customFormat="1" ht="20.100000000000001" customHeight="1" x14ac:dyDescent="0.25">
      <c r="A24" s="40" t="s">
        <v>52</v>
      </c>
      <c r="B24" s="40" t="s">
        <v>53</v>
      </c>
      <c r="C24" s="38">
        <f>IF('P. O.'!F8="NÃO DESONERADO",0,4.5%)</f>
        <v>0</v>
      </c>
    </row>
    <row r="25" spans="1:3" s="98" customFormat="1" ht="20.100000000000001" customHeight="1" x14ac:dyDescent="0.25">
      <c r="A25" s="59"/>
      <c r="B25" s="37"/>
      <c r="C25" s="37"/>
    </row>
    <row r="26" spans="1:3" s="98" customFormat="1" ht="22.5" customHeight="1" x14ac:dyDescent="0.25">
      <c r="A26" s="151" t="str">
        <f>IF('P. O.'!F8="NÃO DESONERADO","BDI SEM DESONERAÇÃO (Fórmula Acórdão TCU)","BDI COM DESONERAÇÃO (Fórmula Acórdão TCU)")</f>
        <v>BDI SEM DESONERAÇÃO (Fórmula Acórdão TCU)</v>
      </c>
      <c r="B26" s="152"/>
      <c r="C26" s="42">
        <f>(((1+C17+C18+C19)*(1+C20)*(1+C21))/(1-C22-C23-C24))-1</f>
        <v>0.2341733314864145</v>
      </c>
    </row>
    <row r="27" spans="1:3" s="98" customFormat="1" ht="15.75" x14ac:dyDescent="0.25"/>
    <row r="28" spans="1:3" s="98" customFormat="1" ht="15.75" x14ac:dyDescent="0.25"/>
    <row r="29" spans="1:3" s="98" customFormat="1" ht="15.75" x14ac:dyDescent="0.25"/>
    <row r="30" spans="1:3" s="98" customFormat="1" ht="15.75" x14ac:dyDescent="0.25"/>
    <row r="31" spans="1:3" s="98" customFormat="1" ht="15.75" x14ac:dyDescent="0.25"/>
    <row r="32" spans="1:3" s="98" customFormat="1" ht="15.75" x14ac:dyDescent="0.25"/>
    <row r="33" spans="1:2" s="98" customFormat="1" ht="15.75" x14ac:dyDescent="0.25"/>
    <row r="34" spans="1:2" s="98" customFormat="1" ht="15.75" x14ac:dyDescent="0.25">
      <c r="A34" s="43" t="str">
        <f>VLOOKUP('P. O.'!B4,DADOS!B:F,4,0)</f>
        <v>Santos Dumont - MG</v>
      </c>
    </row>
    <row r="35" spans="1:2" s="98" customFormat="1" ht="15.75" x14ac:dyDescent="0.25">
      <c r="A35" s="44" t="s">
        <v>137</v>
      </c>
    </row>
    <row r="36" spans="1:2" s="98" customFormat="1" ht="15.75" x14ac:dyDescent="0.25">
      <c r="A36" s="37"/>
    </row>
    <row r="37" spans="1:2" s="98" customFormat="1" ht="15.75" x14ac:dyDescent="0.25">
      <c r="A37" s="90">
        <f>'P. O.'!I4</f>
        <v>46049</v>
      </c>
    </row>
    <row r="38" spans="1:2" s="98" customFormat="1" ht="15.75" x14ac:dyDescent="0.25">
      <c r="A38" s="44" t="s">
        <v>156</v>
      </c>
    </row>
    <row r="39" spans="1:2" s="98" customFormat="1" ht="15.75" x14ac:dyDescent="0.25">
      <c r="B39" s="99"/>
    </row>
    <row r="40" spans="1:2" s="98" customFormat="1" ht="15.75" x14ac:dyDescent="0.25">
      <c r="B40" s="99"/>
    </row>
    <row r="41" spans="1:2" s="98" customFormat="1" ht="15.75" x14ac:dyDescent="0.25">
      <c r="B41" s="99"/>
    </row>
    <row r="42" spans="1:2" s="98" customFormat="1" ht="15.75" x14ac:dyDescent="0.25">
      <c r="A42" s="98" t="s">
        <v>175</v>
      </c>
    </row>
    <row r="43" spans="1:2" s="98" customFormat="1" ht="15.75" x14ac:dyDescent="0.25">
      <c r="A43" s="99" t="str">
        <f>'P. O.'!B79</f>
        <v>Prefeitura Municipal De Santos Dumont</v>
      </c>
    </row>
    <row r="44" spans="1:2" s="98" customFormat="1" ht="15.75" x14ac:dyDescent="0.25">
      <c r="A44" s="98" t="str">
        <f>'P. O.'!B80</f>
        <v>Pacífico Estites Rodrigues Júnior</v>
      </c>
    </row>
    <row r="45" spans="1:2" s="98" customFormat="1" ht="15.75" x14ac:dyDescent="0.25">
      <c r="A45" s="98" t="str">
        <f>'P. O.'!B81</f>
        <v>Prefeito Municipal De Santos Dumont</v>
      </c>
    </row>
    <row r="46" spans="1:2" s="98" customFormat="1" ht="15.75" x14ac:dyDescent="0.25"/>
    <row r="47" spans="1:2" s="98" customFormat="1" ht="15.75" x14ac:dyDescent="0.25"/>
    <row r="48" spans="1:2" s="98" customFormat="1" ht="15.75" x14ac:dyDescent="0.25"/>
    <row r="49" spans="1:1" s="98" customFormat="1" ht="15.75" x14ac:dyDescent="0.25">
      <c r="A49" s="98" t="s">
        <v>175</v>
      </c>
    </row>
    <row r="50" spans="1:1" s="98" customFormat="1" ht="15.75" x14ac:dyDescent="0.25">
      <c r="A50" s="99" t="s">
        <v>25</v>
      </c>
    </row>
    <row r="51" spans="1:1" s="98" customFormat="1" ht="15.75" x14ac:dyDescent="0.25">
      <c r="A51" s="98" t="str">
        <f>'P. O.'!G80</f>
        <v>Reinaldo Brum de Souza</v>
      </c>
    </row>
    <row r="52" spans="1:1" s="98" customFormat="1" ht="15.75" x14ac:dyDescent="0.25">
      <c r="A52" s="98" t="str">
        <f>'P. O.'!G81</f>
        <v>Engenheiro Civil</v>
      </c>
    </row>
    <row r="53" spans="1:1" s="98" customFormat="1" ht="15.75" x14ac:dyDescent="0.25">
      <c r="A53" s="98" t="str">
        <f>'P. O.'!G82</f>
        <v>CREA-MG 351.037/D</v>
      </c>
    </row>
    <row r="54" spans="1:1" x14ac:dyDescent="0.25">
      <c r="A54" s="100"/>
    </row>
  </sheetData>
  <protectedRanges>
    <protectedRange password="E125" sqref="C11:C26" name="Intervalo1"/>
  </protectedRanges>
  <mergeCells count="10">
    <mergeCell ref="A11:B11"/>
    <mergeCell ref="A12:B12"/>
    <mergeCell ref="A26:B26"/>
    <mergeCell ref="A1:C1"/>
    <mergeCell ref="A2:C2"/>
    <mergeCell ref="A3:C3"/>
    <mergeCell ref="A4:C4"/>
    <mergeCell ref="A5:C5"/>
    <mergeCell ref="A7:C7"/>
    <mergeCell ref="A8:C8"/>
  </mergeCells>
  <pageMargins left="0.511811024" right="0.511811024" top="0.48" bottom="0.78740157499999996" header="0.31496062000000002" footer="0.31496062000000002"/>
  <pageSetup paperSize="9" scale="8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78BD12-1718-40EB-AFFA-44F550DC7B80}">
          <x14:formula1>
            <xm:f>DADOS!$AM$2:$AM$7</xm:f>
          </x14:formula1>
          <xm:sqref>A8:C8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82"/>
  <sheetViews>
    <sheetView tabSelected="1" view="pageBreakPreview" topLeftCell="C1" zoomScaleNormal="100" zoomScaleSheetLayoutView="100" workbookViewId="0">
      <selection activeCell="E14" sqref="E14"/>
    </sheetView>
  </sheetViews>
  <sheetFormatPr defaultRowHeight="15" x14ac:dyDescent="0.25"/>
  <cols>
    <col min="2" max="2" width="9.140625" customWidth="1"/>
    <col min="3" max="4" width="12.7109375" customWidth="1"/>
    <col min="5" max="5" width="77.5703125" customWidth="1"/>
    <col min="6" max="6" width="9.140625" customWidth="1"/>
    <col min="7" max="7" width="11.140625" style="3" customWidth="1"/>
    <col min="8" max="10" width="15.7109375" customWidth="1"/>
    <col min="11" max="11" width="11.7109375" customWidth="1"/>
    <col min="12" max="12" width="16.42578125" customWidth="1"/>
    <col min="13" max="13" width="54.140625" customWidth="1"/>
  </cols>
  <sheetData>
    <row r="1" spans="2:13" ht="120" customHeight="1" x14ac:dyDescent="0.25">
      <c r="B1" s="164"/>
      <c r="C1" s="165"/>
      <c r="D1" s="165"/>
      <c r="E1" s="165"/>
      <c r="F1" s="165"/>
      <c r="G1" s="165"/>
      <c r="H1" s="165"/>
      <c r="I1" s="165"/>
      <c r="J1" s="166"/>
    </row>
    <row r="2" spans="2:13" s="35" customFormat="1" ht="24.95" customHeight="1" x14ac:dyDescent="0.25">
      <c r="B2" s="167" t="s">
        <v>55</v>
      </c>
      <c r="C2" s="168"/>
      <c r="D2" s="168"/>
      <c r="E2" s="168"/>
      <c r="F2" s="168"/>
      <c r="G2" s="168"/>
      <c r="H2" s="168"/>
      <c r="I2" s="168"/>
      <c r="J2" s="169"/>
      <c r="M2" s="93"/>
    </row>
    <row r="3" spans="2:13" s="35" customFormat="1" ht="20.100000000000001" customHeight="1" x14ac:dyDescent="0.25">
      <c r="B3" s="62" t="s">
        <v>60</v>
      </c>
      <c r="C3" s="63"/>
      <c r="D3" s="63"/>
      <c r="E3" s="68"/>
      <c r="F3" s="173" t="s">
        <v>174</v>
      </c>
      <c r="G3" s="174"/>
      <c r="H3" s="175"/>
      <c r="I3" s="174" t="s">
        <v>57</v>
      </c>
      <c r="J3" s="176"/>
      <c r="M3" s="94"/>
    </row>
    <row r="4" spans="2:13" s="35" customFormat="1" x14ac:dyDescent="0.25">
      <c r="B4" s="179" t="s">
        <v>119</v>
      </c>
      <c r="C4" s="180"/>
      <c r="D4" s="180"/>
      <c r="E4" s="181"/>
      <c r="F4" s="170" t="s">
        <v>227</v>
      </c>
      <c r="G4" s="171"/>
      <c r="H4" s="172"/>
      <c r="I4" s="177">
        <v>46049</v>
      </c>
      <c r="J4" s="178"/>
    </row>
    <row r="5" spans="2:13" s="35" customFormat="1" x14ac:dyDescent="0.25">
      <c r="B5" s="62" t="s">
        <v>61</v>
      </c>
      <c r="C5" s="63"/>
      <c r="D5" s="63"/>
      <c r="E5" s="68"/>
      <c r="F5" s="170" t="s">
        <v>288</v>
      </c>
      <c r="G5" s="171"/>
      <c r="H5" s="172"/>
      <c r="I5" s="174" t="s">
        <v>58</v>
      </c>
      <c r="J5" s="176"/>
    </row>
    <row r="6" spans="2:13" s="66" customFormat="1" x14ac:dyDescent="0.25">
      <c r="B6" s="137" t="s">
        <v>226</v>
      </c>
      <c r="C6" s="65"/>
      <c r="D6" s="65"/>
      <c r="E6" s="69"/>
      <c r="F6" s="170" t="s">
        <v>228</v>
      </c>
      <c r="G6" s="171"/>
      <c r="H6" s="172"/>
      <c r="I6" s="182">
        <f t="array" ref="I6">IF(B4=VLOOKUP('P. O.'!B4:B4,DADOS!B:F,1,0),VLOOKUP('P. O.'!B4:B4,DADOS!B:F,5,0),0)</f>
        <v>0.05</v>
      </c>
      <c r="J6" s="183"/>
    </row>
    <row r="7" spans="2:13" s="35" customFormat="1" x14ac:dyDescent="0.25">
      <c r="B7" s="138" t="s">
        <v>62</v>
      </c>
      <c r="C7" s="63"/>
      <c r="D7" s="63"/>
      <c r="E7" s="63"/>
      <c r="F7" s="189"/>
      <c r="G7" s="190"/>
      <c r="H7" s="191"/>
      <c r="I7" s="173" t="s">
        <v>56</v>
      </c>
      <c r="J7" s="176"/>
      <c r="K7" s="61"/>
      <c r="L7" s="61"/>
    </row>
    <row r="8" spans="2:13" s="66" customFormat="1" ht="15.75" thickBot="1" x14ac:dyDescent="0.3">
      <c r="B8" s="139" t="s">
        <v>252</v>
      </c>
      <c r="C8" s="71"/>
      <c r="D8" s="71"/>
      <c r="E8" s="72"/>
      <c r="F8" s="186" t="s">
        <v>135</v>
      </c>
      <c r="G8" s="187"/>
      <c r="H8" s="188"/>
      <c r="I8" s="184">
        <f>BDI!C26</f>
        <v>0.2341733314864145</v>
      </c>
      <c r="J8" s="185"/>
      <c r="K8" s="67"/>
      <c r="L8" s="67"/>
    </row>
    <row r="9" spans="2:13" ht="9.9499999999999993" customHeight="1" x14ac:dyDescent="0.25"/>
    <row r="10" spans="2:13" ht="35.1" customHeight="1" x14ac:dyDescent="0.25">
      <c r="B10" s="57" t="s">
        <v>0</v>
      </c>
      <c r="C10" s="57" t="s">
        <v>54</v>
      </c>
      <c r="D10" s="57" t="s">
        <v>1</v>
      </c>
      <c r="E10" s="57" t="s">
        <v>2</v>
      </c>
      <c r="F10" s="57" t="s">
        <v>3</v>
      </c>
      <c r="G10" s="58" t="s">
        <v>4</v>
      </c>
      <c r="H10" s="58" t="s">
        <v>28</v>
      </c>
      <c r="I10" s="58" t="s">
        <v>29</v>
      </c>
      <c r="J10" s="58" t="s">
        <v>5</v>
      </c>
      <c r="K10" s="1"/>
      <c r="L10" s="1"/>
      <c r="M10" s="91"/>
    </row>
    <row r="11" spans="2:13" ht="24.95" customHeight="1" x14ac:dyDescent="0.25">
      <c r="B11" s="51">
        <v>1</v>
      </c>
      <c r="C11" s="51"/>
      <c r="D11" s="52"/>
      <c r="E11" s="53" t="s">
        <v>19</v>
      </c>
      <c r="F11" s="53"/>
      <c r="G11" s="54"/>
      <c r="H11" s="54"/>
      <c r="I11" s="55"/>
      <c r="J11" s="56">
        <f>SUM(J12:J12)</f>
        <v>1427.38</v>
      </c>
      <c r="K11" s="1"/>
      <c r="L11" s="1"/>
      <c r="M11" s="92"/>
    </row>
    <row r="12" spans="2:13" ht="58.5" customHeight="1" x14ac:dyDescent="0.25">
      <c r="B12" s="47" t="s">
        <v>6</v>
      </c>
      <c r="C12" s="47" t="s">
        <v>201</v>
      </c>
      <c r="D12" s="48" t="s">
        <v>162</v>
      </c>
      <c r="E12" s="49" t="s">
        <v>163</v>
      </c>
      <c r="F12" s="48" t="s">
        <v>20</v>
      </c>
      <c r="G12" s="46">
        <v>1</v>
      </c>
      <c r="H12" s="46">
        <v>1156.55</v>
      </c>
      <c r="I12" s="46">
        <f>ROUND(H12*(1+$I$8),2)</f>
        <v>1427.38</v>
      </c>
      <c r="J12" s="50">
        <f>ROUND(I12*G12,2)</f>
        <v>1427.38</v>
      </c>
      <c r="K12" s="1"/>
      <c r="L12" s="1"/>
      <c r="M12" s="92"/>
    </row>
    <row r="13" spans="2:13" ht="24.95" customHeight="1" x14ac:dyDescent="0.25">
      <c r="B13" s="51">
        <v>2</v>
      </c>
      <c r="C13" s="51"/>
      <c r="D13" s="52"/>
      <c r="E13" s="53" t="s">
        <v>191</v>
      </c>
      <c r="F13" s="53"/>
      <c r="G13" s="54"/>
      <c r="H13" s="54"/>
      <c r="I13" s="55"/>
      <c r="J13" s="56">
        <f>SUM(J14:J14)</f>
        <v>19446</v>
      </c>
      <c r="K13" s="1"/>
      <c r="L13" s="1"/>
      <c r="M13" s="92"/>
    </row>
    <row r="14" spans="2:13" ht="30" customHeight="1" x14ac:dyDescent="0.25">
      <c r="B14" s="47" t="s">
        <v>8</v>
      </c>
      <c r="C14" s="47" t="s">
        <v>165</v>
      </c>
      <c r="D14" s="48">
        <v>90777</v>
      </c>
      <c r="E14" s="49" t="s">
        <v>291</v>
      </c>
      <c r="F14" s="48" t="s">
        <v>164</v>
      </c>
      <c r="G14" s="46">
        <f>3*(4*4*2.5)</f>
        <v>120</v>
      </c>
      <c r="H14" s="46">
        <v>131.30000000000001</v>
      </c>
      <c r="I14" s="46">
        <f t="shared" ref="I14" si="0">ROUND(H14*(1+$I$8),2)</f>
        <v>162.05000000000001</v>
      </c>
      <c r="J14" s="50">
        <f t="shared" ref="J14" si="1">ROUND(I14*G14,2)</f>
        <v>19446</v>
      </c>
      <c r="K14" s="1"/>
      <c r="L14" s="1"/>
      <c r="M14" s="92"/>
    </row>
    <row r="15" spans="2:13" ht="24.95" customHeight="1" x14ac:dyDescent="0.25">
      <c r="B15" s="51">
        <v>3</v>
      </c>
      <c r="C15" s="51"/>
      <c r="D15" s="52"/>
      <c r="E15" s="53" t="s">
        <v>222</v>
      </c>
      <c r="F15" s="53"/>
      <c r="G15" s="54"/>
      <c r="H15" s="54"/>
      <c r="I15" s="55"/>
      <c r="J15" s="56">
        <f>SUM(J16:J24)</f>
        <v>71790.91</v>
      </c>
      <c r="K15" s="1"/>
      <c r="L15" s="1"/>
      <c r="M15" s="92"/>
    </row>
    <row r="16" spans="2:13" ht="30" customHeight="1" x14ac:dyDescent="0.25">
      <c r="B16" s="47" t="s">
        <v>10</v>
      </c>
      <c r="C16" s="47" t="s">
        <v>165</v>
      </c>
      <c r="D16" s="48">
        <v>99814</v>
      </c>
      <c r="E16" s="49" t="s">
        <v>203</v>
      </c>
      <c r="F16" s="48" t="s">
        <v>21</v>
      </c>
      <c r="G16" s="46">
        <v>458</v>
      </c>
      <c r="H16" s="46">
        <v>2.09</v>
      </c>
      <c r="I16" s="46">
        <f>ROUND(H16*(1+$I$8),2)</f>
        <v>2.58</v>
      </c>
      <c r="J16" s="50">
        <f t="shared" ref="J16:J23" si="2">ROUND(I16*G16,2)</f>
        <v>1181.6400000000001</v>
      </c>
      <c r="K16" s="1"/>
      <c r="L16" s="1"/>
      <c r="M16" s="92"/>
    </row>
    <row r="17" spans="2:13" ht="30" customHeight="1" x14ac:dyDescent="0.25">
      <c r="B17" s="47" t="s">
        <v>11</v>
      </c>
      <c r="C17" s="47" t="s">
        <v>229</v>
      </c>
      <c r="D17" s="142" t="s">
        <v>230</v>
      </c>
      <c r="E17" s="49" t="s">
        <v>231</v>
      </c>
      <c r="F17" s="48" t="s">
        <v>21</v>
      </c>
      <c r="G17" s="46">
        <f>G16</f>
        <v>458</v>
      </c>
      <c r="H17" s="46">
        <v>2.5299999999999994</v>
      </c>
      <c r="I17" s="46">
        <f>ROUND(H17*(1+$I$8),2)</f>
        <v>3.12</v>
      </c>
      <c r="J17" s="50">
        <f t="shared" si="2"/>
        <v>1428.96</v>
      </c>
      <c r="K17" s="1"/>
      <c r="L17" s="1"/>
      <c r="M17" s="92"/>
    </row>
    <row r="18" spans="2:13" ht="34.5" customHeight="1" x14ac:dyDescent="0.25">
      <c r="B18" s="47" t="s">
        <v>202</v>
      </c>
      <c r="C18" s="47" t="s">
        <v>165</v>
      </c>
      <c r="D18" s="48">
        <v>102330</v>
      </c>
      <c r="E18" s="49" t="s">
        <v>204</v>
      </c>
      <c r="F18" s="48" t="s">
        <v>166</v>
      </c>
      <c r="G18" s="46">
        <f>(G17*0.005)*30</f>
        <v>68.7</v>
      </c>
      <c r="H18" s="46">
        <v>1.42</v>
      </c>
      <c r="I18" s="46">
        <f t="shared" ref="I18:I23" si="3">ROUND(H18*(1+$I$8),2)</f>
        <v>1.75</v>
      </c>
      <c r="J18" s="50">
        <f t="shared" si="2"/>
        <v>120.23</v>
      </c>
      <c r="K18" s="1"/>
      <c r="L18" s="1"/>
      <c r="M18" s="92"/>
    </row>
    <row r="19" spans="2:13" ht="47.25" customHeight="1" x14ac:dyDescent="0.25">
      <c r="B19" s="47" t="s">
        <v>246</v>
      </c>
      <c r="C19" s="47" t="s">
        <v>165</v>
      </c>
      <c r="D19" s="48">
        <v>102331</v>
      </c>
      <c r="E19" s="49" t="s">
        <v>205</v>
      </c>
      <c r="F19" s="48" t="s">
        <v>166</v>
      </c>
      <c r="G19" s="46">
        <f>(G17*0.005)*20</f>
        <v>45.8</v>
      </c>
      <c r="H19" s="46">
        <v>0.56000000000000005</v>
      </c>
      <c r="I19" s="46">
        <f t="shared" si="3"/>
        <v>0.69</v>
      </c>
      <c r="J19" s="50">
        <f t="shared" si="2"/>
        <v>31.6</v>
      </c>
      <c r="K19" s="1"/>
      <c r="L19" s="1"/>
      <c r="M19" s="92"/>
    </row>
    <row r="20" spans="2:13" ht="36" customHeight="1" x14ac:dyDescent="0.25">
      <c r="B20" s="47" t="s">
        <v>247</v>
      </c>
      <c r="C20" s="47" t="s">
        <v>165</v>
      </c>
      <c r="D20" s="48">
        <v>95996</v>
      </c>
      <c r="E20" s="49" t="s">
        <v>206</v>
      </c>
      <c r="F20" s="48" t="s">
        <v>22</v>
      </c>
      <c r="G20" s="46">
        <f>G16*0.02</f>
        <v>9.16</v>
      </c>
      <c r="H20" s="46">
        <v>1689.8</v>
      </c>
      <c r="I20" s="46">
        <f t="shared" si="3"/>
        <v>2085.5100000000002</v>
      </c>
      <c r="J20" s="50">
        <f t="shared" si="2"/>
        <v>19103.27</v>
      </c>
      <c r="K20" s="1"/>
      <c r="L20" s="1"/>
      <c r="M20" s="92"/>
    </row>
    <row r="21" spans="2:13" ht="36" customHeight="1" x14ac:dyDescent="0.25">
      <c r="B21" s="47" t="s">
        <v>248</v>
      </c>
      <c r="C21" s="47" t="s">
        <v>165</v>
      </c>
      <c r="D21" s="48">
        <v>95995</v>
      </c>
      <c r="E21" s="49" t="s">
        <v>207</v>
      </c>
      <c r="F21" s="48" t="s">
        <v>22</v>
      </c>
      <c r="G21" s="46">
        <f>G16*0.03</f>
        <v>13.74</v>
      </c>
      <c r="H21" s="46">
        <v>1948.89</v>
      </c>
      <c r="I21" s="46">
        <f t="shared" si="3"/>
        <v>2405.27</v>
      </c>
      <c r="J21" s="50">
        <f t="shared" si="2"/>
        <v>33048.410000000003</v>
      </c>
      <c r="K21" s="1"/>
      <c r="L21" s="1"/>
      <c r="M21" s="92"/>
    </row>
    <row r="22" spans="2:13" ht="36" customHeight="1" x14ac:dyDescent="0.25">
      <c r="B22" s="47" t="s">
        <v>249</v>
      </c>
      <c r="C22" s="47" t="s">
        <v>201</v>
      </c>
      <c r="D22" s="48" t="s">
        <v>167</v>
      </c>
      <c r="E22" s="49" t="s">
        <v>168</v>
      </c>
      <c r="F22" s="48" t="s">
        <v>22</v>
      </c>
      <c r="G22" s="46">
        <f>(G20+G21)</f>
        <v>22.9</v>
      </c>
      <c r="H22" s="46">
        <v>3.35</v>
      </c>
      <c r="I22" s="46">
        <f t="shared" si="3"/>
        <v>4.13</v>
      </c>
      <c r="J22" s="50">
        <f t="shared" si="2"/>
        <v>94.58</v>
      </c>
      <c r="K22" s="1"/>
      <c r="L22" s="1"/>
      <c r="M22" s="92"/>
    </row>
    <row r="23" spans="2:13" ht="36" customHeight="1" x14ac:dyDescent="0.25">
      <c r="B23" s="47" t="s">
        <v>250</v>
      </c>
      <c r="C23" s="47" t="s">
        <v>176</v>
      </c>
      <c r="D23" s="48">
        <v>5914612</v>
      </c>
      <c r="E23" s="49" t="s">
        <v>209</v>
      </c>
      <c r="F23" s="48" t="s">
        <v>166</v>
      </c>
      <c r="G23" s="46">
        <f>G22*2.4*50</f>
        <v>2747.9999999999995</v>
      </c>
      <c r="H23" s="46">
        <v>0.9</v>
      </c>
      <c r="I23" s="46">
        <f t="shared" si="3"/>
        <v>1.1100000000000001</v>
      </c>
      <c r="J23" s="50">
        <f t="shared" si="2"/>
        <v>3050.28</v>
      </c>
      <c r="K23" s="1"/>
      <c r="L23" s="1"/>
      <c r="M23" s="92"/>
    </row>
    <row r="24" spans="2:13" ht="36" customHeight="1" x14ac:dyDescent="0.25">
      <c r="B24" s="47" t="s">
        <v>254</v>
      </c>
      <c r="C24" s="47" t="s">
        <v>165</v>
      </c>
      <c r="D24" s="48">
        <v>94288</v>
      </c>
      <c r="E24" s="49" t="s">
        <v>240</v>
      </c>
      <c r="F24" s="48" t="s">
        <v>23</v>
      </c>
      <c r="G24" s="46">
        <f>100.13+26.85+30.35+104.73</f>
        <v>262.06</v>
      </c>
      <c r="H24" s="46">
        <v>42.46</v>
      </c>
      <c r="I24" s="46">
        <f t="shared" ref="I24" si="4">ROUND(H24*(1+$I$8),2)</f>
        <v>52.4</v>
      </c>
      <c r="J24" s="50">
        <f t="shared" ref="J24" si="5">ROUND(I24*G24,2)</f>
        <v>13731.94</v>
      </c>
      <c r="K24" s="1"/>
      <c r="L24" s="1"/>
      <c r="M24" s="92"/>
    </row>
    <row r="25" spans="2:13" ht="24.95" customHeight="1" x14ac:dyDescent="0.25">
      <c r="B25" s="51">
        <v>4</v>
      </c>
      <c r="C25" s="51"/>
      <c r="D25" s="52"/>
      <c r="E25" s="53" t="s">
        <v>224</v>
      </c>
      <c r="F25" s="53"/>
      <c r="G25" s="54"/>
      <c r="H25" s="54"/>
      <c r="I25" s="55"/>
      <c r="J25" s="56">
        <f>SUM(J26:J34)</f>
        <v>121705.4</v>
      </c>
      <c r="K25" s="1"/>
      <c r="L25" s="1"/>
      <c r="M25" s="92"/>
    </row>
    <row r="26" spans="2:13" ht="30" customHeight="1" x14ac:dyDescent="0.25">
      <c r="B26" s="47" t="s">
        <v>13</v>
      </c>
      <c r="C26" s="47" t="s">
        <v>165</v>
      </c>
      <c r="D26" s="48">
        <v>99814</v>
      </c>
      <c r="E26" s="49" t="s">
        <v>203</v>
      </c>
      <c r="F26" s="48" t="s">
        <v>21</v>
      </c>
      <c r="G26" s="46">
        <v>789</v>
      </c>
      <c r="H26" s="46">
        <v>2.09</v>
      </c>
      <c r="I26" s="46">
        <f>ROUND(H26*(1+$I$8),2)</f>
        <v>2.58</v>
      </c>
      <c r="J26" s="50">
        <f t="shared" ref="J26:J34" si="6">ROUND(I26*G26,2)</f>
        <v>2035.62</v>
      </c>
      <c r="K26" s="1"/>
      <c r="L26" s="1"/>
      <c r="M26" s="92"/>
    </row>
    <row r="27" spans="2:13" ht="30" customHeight="1" x14ac:dyDescent="0.25">
      <c r="B27" s="47" t="s">
        <v>232</v>
      </c>
      <c r="C27" s="47" t="s">
        <v>229</v>
      </c>
      <c r="D27" s="142" t="s">
        <v>230</v>
      </c>
      <c r="E27" s="49" t="s">
        <v>231</v>
      </c>
      <c r="F27" s="48" t="s">
        <v>21</v>
      </c>
      <c r="G27" s="46">
        <f>G26</f>
        <v>789</v>
      </c>
      <c r="H27" s="46">
        <v>2.5299999999999994</v>
      </c>
      <c r="I27" s="46">
        <f>ROUND(H27*(1+$I$8),2)</f>
        <v>3.12</v>
      </c>
      <c r="J27" s="50">
        <f t="shared" si="6"/>
        <v>2461.6799999999998</v>
      </c>
      <c r="K27" s="1"/>
      <c r="L27" s="1"/>
      <c r="M27" s="92"/>
    </row>
    <row r="28" spans="2:13" ht="34.5" customHeight="1" x14ac:dyDescent="0.25">
      <c r="B28" s="47" t="s">
        <v>233</v>
      </c>
      <c r="C28" s="47" t="s">
        <v>165</v>
      </c>
      <c r="D28" s="48">
        <v>102330</v>
      </c>
      <c r="E28" s="49" t="s">
        <v>204</v>
      </c>
      <c r="F28" s="48" t="s">
        <v>166</v>
      </c>
      <c r="G28" s="46">
        <f>(G27*0.005)*30</f>
        <v>118.35000000000001</v>
      </c>
      <c r="H28" s="46">
        <v>1.42</v>
      </c>
      <c r="I28" s="46">
        <f t="shared" ref="I28:I34" si="7">ROUND(H28*(1+$I$8),2)</f>
        <v>1.75</v>
      </c>
      <c r="J28" s="50">
        <f t="shared" si="6"/>
        <v>207.11</v>
      </c>
      <c r="K28" s="1"/>
      <c r="L28" s="1"/>
      <c r="M28" s="92"/>
    </row>
    <row r="29" spans="2:13" ht="47.25" customHeight="1" x14ac:dyDescent="0.25">
      <c r="B29" s="47" t="s">
        <v>234</v>
      </c>
      <c r="C29" s="47" t="s">
        <v>165</v>
      </c>
      <c r="D29" s="48">
        <v>102331</v>
      </c>
      <c r="E29" s="49" t="s">
        <v>205</v>
      </c>
      <c r="F29" s="48" t="s">
        <v>166</v>
      </c>
      <c r="G29" s="46">
        <f>(G27*0.005)*20</f>
        <v>78.900000000000006</v>
      </c>
      <c r="H29" s="46">
        <v>0.56000000000000005</v>
      </c>
      <c r="I29" s="46">
        <f t="shared" si="7"/>
        <v>0.69</v>
      </c>
      <c r="J29" s="50">
        <f t="shared" si="6"/>
        <v>54.44</v>
      </c>
      <c r="K29" s="1"/>
      <c r="L29" s="1"/>
      <c r="M29" s="92"/>
    </row>
    <row r="30" spans="2:13" ht="39.75" customHeight="1" x14ac:dyDescent="0.25">
      <c r="B30" s="47" t="s">
        <v>235</v>
      </c>
      <c r="C30" s="47" t="s">
        <v>165</v>
      </c>
      <c r="D30" s="48">
        <v>95996</v>
      </c>
      <c r="E30" s="49" t="s">
        <v>206</v>
      </c>
      <c r="F30" s="48" t="s">
        <v>22</v>
      </c>
      <c r="G30" s="46">
        <f>G26*0.02</f>
        <v>15.780000000000001</v>
      </c>
      <c r="H30" s="46">
        <v>1689.8</v>
      </c>
      <c r="I30" s="46">
        <f t="shared" si="7"/>
        <v>2085.5100000000002</v>
      </c>
      <c r="J30" s="50">
        <f t="shared" si="6"/>
        <v>32909.35</v>
      </c>
      <c r="K30" s="1"/>
      <c r="L30" s="1"/>
      <c r="M30" s="92"/>
    </row>
    <row r="31" spans="2:13" ht="37.5" customHeight="1" x14ac:dyDescent="0.25">
      <c r="B31" s="47" t="s">
        <v>236</v>
      </c>
      <c r="C31" s="47" t="s">
        <v>165</v>
      </c>
      <c r="D31" s="48">
        <v>95995</v>
      </c>
      <c r="E31" s="49" t="s">
        <v>207</v>
      </c>
      <c r="F31" s="48" t="s">
        <v>22</v>
      </c>
      <c r="G31" s="46">
        <f>G26*0.03</f>
        <v>23.669999999999998</v>
      </c>
      <c r="H31" s="46">
        <v>1948.89</v>
      </c>
      <c r="I31" s="46">
        <f t="shared" si="7"/>
        <v>2405.27</v>
      </c>
      <c r="J31" s="50">
        <f t="shared" si="6"/>
        <v>56932.74</v>
      </c>
      <c r="K31" s="1"/>
      <c r="L31" s="1"/>
      <c r="M31" s="92"/>
    </row>
    <row r="32" spans="2:13" ht="30" customHeight="1" x14ac:dyDescent="0.25">
      <c r="B32" s="47" t="s">
        <v>237</v>
      </c>
      <c r="C32" s="47" t="s">
        <v>201</v>
      </c>
      <c r="D32" s="48" t="s">
        <v>167</v>
      </c>
      <c r="E32" s="49" t="s">
        <v>168</v>
      </c>
      <c r="F32" s="48" t="s">
        <v>22</v>
      </c>
      <c r="G32" s="46">
        <f>(G30+G31)</f>
        <v>39.450000000000003</v>
      </c>
      <c r="H32" s="46">
        <v>3.35</v>
      </c>
      <c r="I32" s="46">
        <f t="shared" si="7"/>
        <v>4.13</v>
      </c>
      <c r="J32" s="50">
        <f t="shared" si="6"/>
        <v>162.93</v>
      </c>
      <c r="K32" s="1"/>
      <c r="L32" s="1"/>
      <c r="M32" s="92"/>
    </row>
    <row r="33" spans="2:13" ht="36" customHeight="1" x14ac:dyDescent="0.25">
      <c r="B33" s="47" t="s">
        <v>238</v>
      </c>
      <c r="C33" s="47" t="s">
        <v>176</v>
      </c>
      <c r="D33" s="48">
        <v>5914612</v>
      </c>
      <c r="E33" s="49" t="s">
        <v>209</v>
      </c>
      <c r="F33" s="48" t="s">
        <v>166</v>
      </c>
      <c r="G33" s="46">
        <f>G32*2.4*50</f>
        <v>4734</v>
      </c>
      <c r="H33" s="46">
        <v>0.9</v>
      </c>
      <c r="I33" s="46">
        <f t="shared" si="7"/>
        <v>1.1100000000000001</v>
      </c>
      <c r="J33" s="50">
        <f t="shared" si="6"/>
        <v>5254.74</v>
      </c>
      <c r="K33" s="1"/>
      <c r="L33" s="1"/>
      <c r="M33" s="92"/>
    </row>
    <row r="34" spans="2:13" ht="36" customHeight="1" x14ac:dyDescent="0.25">
      <c r="B34" s="47" t="s">
        <v>251</v>
      </c>
      <c r="C34" s="47" t="s">
        <v>165</v>
      </c>
      <c r="D34" s="48">
        <v>94288</v>
      </c>
      <c r="E34" s="49" t="s">
        <v>240</v>
      </c>
      <c r="F34" s="48" t="s">
        <v>23</v>
      </c>
      <c r="G34" s="46">
        <f>33.25+115.51+17.33+11.17+32.48+32.43+9.6+15.61+5.12+4.28+51.71+56.32+29.06</f>
        <v>413.86999999999989</v>
      </c>
      <c r="H34" s="46">
        <v>42.46</v>
      </c>
      <c r="I34" s="46">
        <f t="shared" si="7"/>
        <v>52.4</v>
      </c>
      <c r="J34" s="50">
        <f t="shared" si="6"/>
        <v>21686.79</v>
      </c>
      <c r="K34" s="1"/>
      <c r="L34" s="1"/>
      <c r="M34" s="92"/>
    </row>
    <row r="35" spans="2:13" ht="24.95" customHeight="1" x14ac:dyDescent="0.25">
      <c r="B35" s="51">
        <v>5</v>
      </c>
      <c r="C35" s="51"/>
      <c r="D35" s="52"/>
      <c r="E35" s="53" t="s">
        <v>225</v>
      </c>
      <c r="F35" s="53"/>
      <c r="G35" s="54"/>
      <c r="H35" s="54"/>
      <c r="I35" s="55"/>
      <c r="J35" s="56">
        <f>SUM(J36:J44)</f>
        <v>44266.919999999991</v>
      </c>
      <c r="K35" s="1"/>
      <c r="L35" s="1"/>
      <c r="M35" s="92"/>
    </row>
    <row r="36" spans="2:13" ht="30" customHeight="1" x14ac:dyDescent="0.25">
      <c r="B36" s="47" t="s">
        <v>210</v>
      </c>
      <c r="C36" s="47" t="s">
        <v>165</v>
      </c>
      <c r="D36" s="48">
        <v>99814</v>
      </c>
      <c r="E36" s="49" t="s">
        <v>203</v>
      </c>
      <c r="F36" s="48" t="s">
        <v>21</v>
      </c>
      <c r="G36" s="46">
        <v>291</v>
      </c>
      <c r="H36" s="46">
        <v>2.09</v>
      </c>
      <c r="I36" s="46">
        <f>ROUND(H36*(1+$I$8),2)</f>
        <v>2.58</v>
      </c>
      <c r="J36" s="50">
        <f t="shared" ref="J36:J44" si="8">ROUND(I36*G36,2)</f>
        <v>750.78</v>
      </c>
      <c r="K36" s="1"/>
      <c r="L36" s="1"/>
      <c r="M36" s="92"/>
    </row>
    <row r="37" spans="2:13" ht="30" customHeight="1" x14ac:dyDescent="0.25">
      <c r="B37" s="47" t="s">
        <v>211</v>
      </c>
      <c r="C37" s="47" t="s">
        <v>229</v>
      </c>
      <c r="D37" s="142" t="s">
        <v>230</v>
      </c>
      <c r="E37" s="49" t="s">
        <v>231</v>
      </c>
      <c r="F37" s="48" t="s">
        <v>21</v>
      </c>
      <c r="G37" s="46">
        <f>G36</f>
        <v>291</v>
      </c>
      <c r="H37" s="46">
        <v>2.5299999999999994</v>
      </c>
      <c r="I37" s="46">
        <f>ROUND(H37*(1+$I$8),2)</f>
        <v>3.12</v>
      </c>
      <c r="J37" s="50">
        <f t="shared" si="8"/>
        <v>907.92</v>
      </c>
      <c r="K37" s="1"/>
      <c r="L37" s="1"/>
      <c r="M37" s="92"/>
    </row>
    <row r="38" spans="2:13" ht="34.5" customHeight="1" x14ac:dyDescent="0.25">
      <c r="B38" s="47" t="s">
        <v>212</v>
      </c>
      <c r="C38" s="47" t="s">
        <v>165</v>
      </c>
      <c r="D38" s="48">
        <v>102330</v>
      </c>
      <c r="E38" s="49" t="s">
        <v>204</v>
      </c>
      <c r="F38" s="48" t="s">
        <v>166</v>
      </c>
      <c r="G38" s="46">
        <f>(G37*0.005)*30</f>
        <v>43.650000000000006</v>
      </c>
      <c r="H38" s="46">
        <v>1.42</v>
      </c>
      <c r="I38" s="46">
        <f t="shared" ref="I38:I44" si="9">ROUND(H38*(1+$I$8),2)</f>
        <v>1.75</v>
      </c>
      <c r="J38" s="50">
        <f t="shared" si="8"/>
        <v>76.39</v>
      </c>
      <c r="K38" s="1"/>
      <c r="L38" s="1"/>
      <c r="M38" s="92"/>
    </row>
    <row r="39" spans="2:13" ht="47.25" customHeight="1" x14ac:dyDescent="0.25">
      <c r="B39" s="47" t="s">
        <v>213</v>
      </c>
      <c r="C39" s="47" t="s">
        <v>165</v>
      </c>
      <c r="D39" s="48">
        <v>102331</v>
      </c>
      <c r="E39" s="49" t="s">
        <v>205</v>
      </c>
      <c r="F39" s="48" t="s">
        <v>166</v>
      </c>
      <c r="G39" s="46">
        <f>(G37*0.005)*20</f>
        <v>29.1</v>
      </c>
      <c r="H39" s="46">
        <v>0.56000000000000005</v>
      </c>
      <c r="I39" s="46">
        <f t="shared" si="9"/>
        <v>0.69</v>
      </c>
      <c r="J39" s="50">
        <f t="shared" si="8"/>
        <v>20.079999999999998</v>
      </c>
      <c r="K39" s="1"/>
      <c r="L39" s="1"/>
      <c r="M39" s="92"/>
    </row>
    <row r="40" spans="2:13" ht="39.75" customHeight="1" x14ac:dyDescent="0.25">
      <c r="B40" s="47" t="s">
        <v>214</v>
      </c>
      <c r="C40" s="47" t="s">
        <v>165</v>
      </c>
      <c r="D40" s="48">
        <v>95996</v>
      </c>
      <c r="E40" s="49" t="s">
        <v>206</v>
      </c>
      <c r="F40" s="48" t="s">
        <v>22</v>
      </c>
      <c r="G40" s="46">
        <f>G36*0.02</f>
        <v>5.82</v>
      </c>
      <c r="H40" s="46">
        <v>1689.8</v>
      </c>
      <c r="I40" s="46">
        <f t="shared" si="9"/>
        <v>2085.5100000000002</v>
      </c>
      <c r="J40" s="50">
        <f t="shared" si="8"/>
        <v>12137.67</v>
      </c>
      <c r="K40" s="1"/>
      <c r="L40" s="1"/>
      <c r="M40" s="92"/>
    </row>
    <row r="41" spans="2:13" ht="37.5" customHeight="1" x14ac:dyDescent="0.25">
      <c r="B41" s="47" t="s">
        <v>215</v>
      </c>
      <c r="C41" s="47" t="s">
        <v>165</v>
      </c>
      <c r="D41" s="48">
        <v>95995</v>
      </c>
      <c r="E41" s="49" t="s">
        <v>207</v>
      </c>
      <c r="F41" s="48" t="s">
        <v>22</v>
      </c>
      <c r="G41" s="46">
        <f>G36*0.03</f>
        <v>8.73</v>
      </c>
      <c r="H41" s="46">
        <v>1948.89</v>
      </c>
      <c r="I41" s="46">
        <f t="shared" si="9"/>
        <v>2405.27</v>
      </c>
      <c r="J41" s="50">
        <f t="shared" si="8"/>
        <v>20998.01</v>
      </c>
      <c r="K41" s="1"/>
      <c r="L41" s="1"/>
      <c r="M41" s="92"/>
    </row>
    <row r="42" spans="2:13" ht="30" customHeight="1" x14ac:dyDescent="0.25">
      <c r="B42" s="47" t="s">
        <v>216</v>
      </c>
      <c r="C42" s="47" t="s">
        <v>201</v>
      </c>
      <c r="D42" s="48" t="s">
        <v>167</v>
      </c>
      <c r="E42" s="49" t="s">
        <v>168</v>
      </c>
      <c r="F42" s="48" t="s">
        <v>22</v>
      </c>
      <c r="G42" s="46">
        <f>(G40+G41)</f>
        <v>14.55</v>
      </c>
      <c r="H42" s="46">
        <v>3.35</v>
      </c>
      <c r="I42" s="46">
        <f t="shared" si="9"/>
        <v>4.13</v>
      </c>
      <c r="J42" s="50">
        <f t="shared" si="8"/>
        <v>60.09</v>
      </c>
      <c r="K42" s="1"/>
      <c r="L42" s="1"/>
      <c r="M42" s="92"/>
    </row>
    <row r="43" spans="2:13" ht="36" customHeight="1" x14ac:dyDescent="0.25">
      <c r="B43" s="47" t="s">
        <v>217</v>
      </c>
      <c r="C43" s="47" t="s">
        <v>176</v>
      </c>
      <c r="D43" s="48">
        <v>5914612</v>
      </c>
      <c r="E43" s="49" t="s">
        <v>209</v>
      </c>
      <c r="F43" s="48" t="s">
        <v>166</v>
      </c>
      <c r="G43" s="46">
        <f>G42*2.4*50</f>
        <v>1746</v>
      </c>
      <c r="H43" s="46">
        <v>0.9</v>
      </c>
      <c r="I43" s="46">
        <f t="shared" si="9"/>
        <v>1.1100000000000001</v>
      </c>
      <c r="J43" s="50">
        <f t="shared" si="8"/>
        <v>1938.06</v>
      </c>
      <c r="K43" s="1"/>
      <c r="L43" s="1"/>
      <c r="M43" s="92"/>
    </row>
    <row r="44" spans="2:13" ht="36" customHeight="1" x14ac:dyDescent="0.25">
      <c r="B44" s="47" t="s">
        <v>223</v>
      </c>
      <c r="C44" s="47" t="s">
        <v>165</v>
      </c>
      <c r="D44" s="48">
        <v>94288</v>
      </c>
      <c r="E44" s="49" t="s">
        <v>240</v>
      </c>
      <c r="F44" s="48" t="s">
        <v>23</v>
      </c>
      <c r="G44" s="46">
        <f>8.2+63.29+62.09+7.22</f>
        <v>140.79999999999998</v>
      </c>
      <c r="H44" s="46">
        <v>42.46</v>
      </c>
      <c r="I44" s="46">
        <f t="shared" si="9"/>
        <v>52.4</v>
      </c>
      <c r="J44" s="50">
        <f t="shared" si="8"/>
        <v>7377.92</v>
      </c>
      <c r="K44" s="1"/>
      <c r="L44" s="1"/>
      <c r="M44" s="92"/>
    </row>
    <row r="45" spans="2:13" ht="24.95" customHeight="1" x14ac:dyDescent="0.25">
      <c r="B45" s="51">
        <v>6</v>
      </c>
      <c r="C45" s="51"/>
      <c r="D45" s="52"/>
      <c r="E45" s="53" t="s">
        <v>253</v>
      </c>
      <c r="F45" s="53"/>
      <c r="G45" s="54"/>
      <c r="H45" s="54"/>
      <c r="I45" s="55"/>
      <c r="J45" s="56">
        <f>SUM(J46:J54)</f>
        <v>29251.269999999997</v>
      </c>
      <c r="K45" s="1"/>
      <c r="L45" s="1"/>
      <c r="M45" s="92"/>
    </row>
    <row r="46" spans="2:13" ht="30" customHeight="1" x14ac:dyDescent="0.25">
      <c r="B46" s="47" t="s">
        <v>218</v>
      </c>
      <c r="C46" s="47" t="s">
        <v>165</v>
      </c>
      <c r="D46" s="48">
        <v>99814</v>
      </c>
      <c r="E46" s="49" t="s">
        <v>203</v>
      </c>
      <c r="F46" s="48" t="s">
        <v>21</v>
      </c>
      <c r="G46" s="46">
        <v>188</v>
      </c>
      <c r="H46" s="46">
        <v>2.09</v>
      </c>
      <c r="I46" s="46">
        <f>ROUND(H46*(1+$I$8),2)</f>
        <v>2.58</v>
      </c>
      <c r="J46" s="50">
        <f t="shared" ref="J46:J54" si="10">ROUND(I46*G46,2)</f>
        <v>485.04</v>
      </c>
      <c r="K46" s="1"/>
      <c r="L46" s="1"/>
      <c r="M46" s="92"/>
    </row>
    <row r="47" spans="2:13" ht="30" customHeight="1" x14ac:dyDescent="0.25">
      <c r="B47" s="47" t="s">
        <v>219</v>
      </c>
      <c r="C47" s="47" t="s">
        <v>229</v>
      </c>
      <c r="D47" s="142" t="s">
        <v>230</v>
      </c>
      <c r="E47" s="49" t="s">
        <v>231</v>
      </c>
      <c r="F47" s="48" t="s">
        <v>21</v>
      </c>
      <c r="G47" s="46">
        <f>G46</f>
        <v>188</v>
      </c>
      <c r="H47" s="46">
        <v>2.5299999999999994</v>
      </c>
      <c r="I47" s="46">
        <f>ROUND(H47*(1+$I$8),2)</f>
        <v>3.12</v>
      </c>
      <c r="J47" s="50">
        <f t="shared" si="10"/>
        <v>586.55999999999995</v>
      </c>
      <c r="K47" s="1"/>
      <c r="L47" s="1"/>
      <c r="M47" s="92"/>
    </row>
    <row r="48" spans="2:13" ht="34.5" customHeight="1" x14ac:dyDescent="0.25">
      <c r="B48" s="47" t="s">
        <v>220</v>
      </c>
      <c r="C48" s="47" t="s">
        <v>165</v>
      </c>
      <c r="D48" s="48">
        <v>102330</v>
      </c>
      <c r="E48" s="49" t="s">
        <v>204</v>
      </c>
      <c r="F48" s="48" t="s">
        <v>166</v>
      </c>
      <c r="G48" s="46">
        <f>(G47*0.005)*30</f>
        <v>28.200000000000003</v>
      </c>
      <c r="H48" s="46">
        <v>1.42</v>
      </c>
      <c r="I48" s="46">
        <f t="shared" ref="I48:I54" si="11">ROUND(H48*(1+$I$8),2)</f>
        <v>1.75</v>
      </c>
      <c r="J48" s="50">
        <f t="shared" si="10"/>
        <v>49.35</v>
      </c>
      <c r="K48" s="1"/>
      <c r="L48" s="1"/>
      <c r="M48" s="92"/>
    </row>
    <row r="49" spans="2:13" ht="47.25" customHeight="1" x14ac:dyDescent="0.25">
      <c r="B49" s="47" t="s">
        <v>221</v>
      </c>
      <c r="C49" s="47" t="s">
        <v>165</v>
      </c>
      <c r="D49" s="48">
        <v>102331</v>
      </c>
      <c r="E49" s="49" t="s">
        <v>205</v>
      </c>
      <c r="F49" s="48" t="s">
        <v>166</v>
      </c>
      <c r="G49" s="46">
        <f>(G47*0.005)*20</f>
        <v>18.8</v>
      </c>
      <c r="H49" s="46">
        <v>0.56000000000000005</v>
      </c>
      <c r="I49" s="46">
        <f t="shared" si="11"/>
        <v>0.69</v>
      </c>
      <c r="J49" s="50">
        <f t="shared" si="10"/>
        <v>12.97</v>
      </c>
      <c r="K49" s="1"/>
      <c r="L49" s="1"/>
      <c r="M49" s="92"/>
    </row>
    <row r="50" spans="2:13" ht="39.75" customHeight="1" x14ac:dyDescent="0.25">
      <c r="B50" s="47" t="s">
        <v>241</v>
      </c>
      <c r="C50" s="47" t="s">
        <v>165</v>
      </c>
      <c r="D50" s="48">
        <v>95996</v>
      </c>
      <c r="E50" s="49" t="s">
        <v>206</v>
      </c>
      <c r="F50" s="48" t="s">
        <v>22</v>
      </c>
      <c r="G50" s="46">
        <f>G46*0.02</f>
        <v>3.7600000000000002</v>
      </c>
      <c r="H50" s="46">
        <v>1689.8</v>
      </c>
      <c r="I50" s="46">
        <f t="shared" si="11"/>
        <v>2085.5100000000002</v>
      </c>
      <c r="J50" s="50">
        <f t="shared" si="10"/>
        <v>7841.52</v>
      </c>
      <c r="K50" s="1"/>
      <c r="L50" s="1"/>
      <c r="M50" s="92"/>
    </row>
    <row r="51" spans="2:13" ht="37.5" customHeight="1" x14ac:dyDescent="0.25">
      <c r="B51" s="47" t="s">
        <v>242</v>
      </c>
      <c r="C51" s="47" t="s">
        <v>165</v>
      </c>
      <c r="D51" s="48">
        <v>95995</v>
      </c>
      <c r="E51" s="49" t="s">
        <v>207</v>
      </c>
      <c r="F51" s="48" t="s">
        <v>22</v>
      </c>
      <c r="G51" s="46">
        <f>G46*0.03</f>
        <v>5.64</v>
      </c>
      <c r="H51" s="46">
        <v>1948.89</v>
      </c>
      <c r="I51" s="46">
        <f t="shared" si="11"/>
        <v>2405.27</v>
      </c>
      <c r="J51" s="50">
        <f t="shared" si="10"/>
        <v>13565.72</v>
      </c>
      <c r="K51" s="1"/>
      <c r="L51" s="1"/>
      <c r="M51" s="92"/>
    </row>
    <row r="52" spans="2:13" ht="30" customHeight="1" x14ac:dyDescent="0.25">
      <c r="B52" s="47" t="s">
        <v>243</v>
      </c>
      <c r="C52" s="47" t="s">
        <v>201</v>
      </c>
      <c r="D52" s="48" t="s">
        <v>167</v>
      </c>
      <c r="E52" s="49" t="s">
        <v>168</v>
      </c>
      <c r="F52" s="48" t="s">
        <v>22</v>
      </c>
      <c r="G52" s="46">
        <f>(G50+G51)</f>
        <v>9.4</v>
      </c>
      <c r="H52" s="46">
        <v>3.35</v>
      </c>
      <c r="I52" s="46">
        <f t="shared" si="11"/>
        <v>4.13</v>
      </c>
      <c r="J52" s="50">
        <f t="shared" si="10"/>
        <v>38.82</v>
      </c>
      <c r="K52" s="1"/>
      <c r="L52" s="1"/>
      <c r="M52" s="92"/>
    </row>
    <row r="53" spans="2:13" ht="36" customHeight="1" x14ac:dyDescent="0.25">
      <c r="B53" s="47" t="s">
        <v>244</v>
      </c>
      <c r="C53" s="47" t="s">
        <v>176</v>
      </c>
      <c r="D53" s="48">
        <v>5914612</v>
      </c>
      <c r="E53" s="49" t="s">
        <v>209</v>
      </c>
      <c r="F53" s="48" t="s">
        <v>166</v>
      </c>
      <c r="G53" s="46">
        <f>G52*2.4*50</f>
        <v>1128</v>
      </c>
      <c r="H53" s="46">
        <v>0.9</v>
      </c>
      <c r="I53" s="46">
        <f t="shared" si="11"/>
        <v>1.1100000000000001</v>
      </c>
      <c r="J53" s="50">
        <f t="shared" si="10"/>
        <v>1252.08</v>
      </c>
      <c r="K53" s="1"/>
      <c r="L53" s="1"/>
      <c r="M53" s="92"/>
    </row>
    <row r="54" spans="2:13" ht="36" customHeight="1" x14ac:dyDescent="0.25">
      <c r="B54" s="47" t="s">
        <v>245</v>
      </c>
      <c r="C54" s="47" t="s">
        <v>165</v>
      </c>
      <c r="D54" s="48">
        <v>94288</v>
      </c>
      <c r="E54" s="49" t="s">
        <v>240</v>
      </c>
      <c r="F54" s="48" t="s">
        <v>23</v>
      </c>
      <c r="G54" s="46">
        <f>51.71*2</f>
        <v>103.42</v>
      </c>
      <c r="H54" s="46">
        <v>42.46</v>
      </c>
      <c r="I54" s="46">
        <f t="shared" si="11"/>
        <v>52.4</v>
      </c>
      <c r="J54" s="50">
        <f t="shared" si="10"/>
        <v>5419.21</v>
      </c>
      <c r="K54" s="1"/>
      <c r="L54" s="1"/>
      <c r="M54" s="92"/>
    </row>
    <row r="55" spans="2:13" ht="24.95" customHeight="1" x14ac:dyDescent="0.25">
      <c r="B55" s="51">
        <v>7</v>
      </c>
      <c r="C55" s="51"/>
      <c r="D55" s="52"/>
      <c r="E55" s="53" t="s">
        <v>289</v>
      </c>
      <c r="F55" s="53"/>
      <c r="G55" s="54"/>
      <c r="H55" s="54"/>
      <c r="I55" s="55"/>
      <c r="J55" s="56">
        <f>SUM(J56:J65)</f>
        <v>11824.02</v>
      </c>
      <c r="K55" s="1"/>
      <c r="L55" s="1"/>
      <c r="M55" s="92"/>
    </row>
    <row r="56" spans="2:13" ht="30" customHeight="1" x14ac:dyDescent="0.25">
      <c r="B56" s="47" t="s">
        <v>292</v>
      </c>
      <c r="C56" s="47" t="s">
        <v>165</v>
      </c>
      <c r="D56" s="48">
        <v>99814</v>
      </c>
      <c r="E56" s="49" t="s">
        <v>203</v>
      </c>
      <c r="F56" s="48" t="s">
        <v>21</v>
      </c>
      <c r="G56" s="46">
        <v>50</v>
      </c>
      <c r="H56" s="46">
        <v>2.09</v>
      </c>
      <c r="I56" s="46">
        <f>ROUND(H56*(1+$I$8),2)</f>
        <v>2.58</v>
      </c>
      <c r="J56" s="50">
        <f t="shared" ref="J56:J64" si="12">ROUND(I56*G56,2)</f>
        <v>129</v>
      </c>
      <c r="K56" s="1"/>
      <c r="L56" s="1"/>
      <c r="M56" s="92"/>
    </row>
    <row r="57" spans="2:13" ht="30" customHeight="1" x14ac:dyDescent="0.25">
      <c r="B57" s="47" t="s">
        <v>293</v>
      </c>
      <c r="C57" s="47" t="s">
        <v>229</v>
      </c>
      <c r="D57" s="142" t="s">
        <v>230</v>
      </c>
      <c r="E57" s="49" t="s">
        <v>231</v>
      </c>
      <c r="F57" s="48" t="s">
        <v>21</v>
      </c>
      <c r="G57" s="46">
        <f>G56</f>
        <v>50</v>
      </c>
      <c r="H57" s="46">
        <v>2.5299999999999994</v>
      </c>
      <c r="I57" s="46">
        <f>ROUND(H57*(1+$I$8),2)</f>
        <v>3.12</v>
      </c>
      <c r="J57" s="50">
        <f t="shared" si="12"/>
        <v>156</v>
      </c>
      <c r="K57" s="1"/>
      <c r="L57" s="1"/>
      <c r="M57" s="92"/>
    </row>
    <row r="58" spans="2:13" ht="34.5" customHeight="1" x14ac:dyDescent="0.25">
      <c r="B58" s="47" t="s">
        <v>294</v>
      </c>
      <c r="C58" s="47" t="s">
        <v>165</v>
      </c>
      <c r="D58" s="48">
        <v>102330</v>
      </c>
      <c r="E58" s="49" t="s">
        <v>204</v>
      </c>
      <c r="F58" s="48" t="s">
        <v>166</v>
      </c>
      <c r="G58" s="46">
        <f>(G57*0.005)*30</f>
        <v>7.5</v>
      </c>
      <c r="H58" s="46">
        <v>1.42</v>
      </c>
      <c r="I58" s="46">
        <f t="shared" ref="I58:I64" si="13">ROUND(H58*(1+$I$8),2)</f>
        <v>1.75</v>
      </c>
      <c r="J58" s="50">
        <f t="shared" si="12"/>
        <v>13.13</v>
      </c>
      <c r="K58" s="1"/>
      <c r="L58" s="1"/>
      <c r="M58" s="92"/>
    </row>
    <row r="59" spans="2:13" ht="47.25" customHeight="1" x14ac:dyDescent="0.25">
      <c r="B59" s="47" t="s">
        <v>295</v>
      </c>
      <c r="C59" s="47" t="s">
        <v>165</v>
      </c>
      <c r="D59" s="48">
        <v>102331</v>
      </c>
      <c r="E59" s="49" t="s">
        <v>205</v>
      </c>
      <c r="F59" s="48" t="s">
        <v>166</v>
      </c>
      <c r="G59" s="46">
        <f>(G57*0.005)*20</f>
        <v>5</v>
      </c>
      <c r="H59" s="46">
        <v>0.56000000000000005</v>
      </c>
      <c r="I59" s="46">
        <f t="shared" si="13"/>
        <v>0.69</v>
      </c>
      <c r="J59" s="50">
        <f t="shared" si="12"/>
        <v>3.45</v>
      </c>
      <c r="K59" s="1"/>
      <c r="L59" s="1"/>
      <c r="M59" s="92"/>
    </row>
    <row r="60" spans="2:13" ht="39.75" customHeight="1" x14ac:dyDescent="0.25">
      <c r="B60" s="47" t="s">
        <v>296</v>
      </c>
      <c r="C60" s="47" t="s">
        <v>165</v>
      </c>
      <c r="D60" s="48">
        <v>95996</v>
      </c>
      <c r="E60" s="49" t="s">
        <v>206</v>
      </c>
      <c r="F60" s="48" t="s">
        <v>22</v>
      </c>
      <c r="G60" s="46">
        <f>G56*0.02</f>
        <v>1</v>
      </c>
      <c r="H60" s="46">
        <v>1689.8</v>
      </c>
      <c r="I60" s="46">
        <f t="shared" si="13"/>
        <v>2085.5100000000002</v>
      </c>
      <c r="J60" s="50">
        <f t="shared" si="12"/>
        <v>2085.5100000000002</v>
      </c>
      <c r="K60" s="1"/>
      <c r="L60" s="1"/>
      <c r="M60" s="92"/>
    </row>
    <row r="61" spans="2:13" ht="37.5" customHeight="1" x14ac:dyDescent="0.25">
      <c r="B61" s="47" t="s">
        <v>297</v>
      </c>
      <c r="C61" s="47" t="s">
        <v>165</v>
      </c>
      <c r="D61" s="48">
        <v>95995</v>
      </c>
      <c r="E61" s="49" t="s">
        <v>207</v>
      </c>
      <c r="F61" s="48" t="s">
        <v>22</v>
      </c>
      <c r="G61" s="46">
        <f>G56*0.03</f>
        <v>1.5</v>
      </c>
      <c r="H61" s="46">
        <v>1948.89</v>
      </c>
      <c r="I61" s="46">
        <f t="shared" si="13"/>
        <v>2405.27</v>
      </c>
      <c r="J61" s="50">
        <f t="shared" si="12"/>
        <v>3607.91</v>
      </c>
      <c r="K61" s="1"/>
      <c r="L61" s="1"/>
      <c r="M61" s="92"/>
    </row>
    <row r="62" spans="2:13" ht="30" customHeight="1" x14ac:dyDescent="0.25">
      <c r="B62" s="47" t="s">
        <v>298</v>
      </c>
      <c r="C62" s="47" t="s">
        <v>201</v>
      </c>
      <c r="D62" s="48" t="s">
        <v>167</v>
      </c>
      <c r="E62" s="49" t="s">
        <v>168</v>
      </c>
      <c r="F62" s="48" t="s">
        <v>22</v>
      </c>
      <c r="G62" s="46">
        <f>(G60+G61)</f>
        <v>2.5</v>
      </c>
      <c r="H62" s="46">
        <v>3.35</v>
      </c>
      <c r="I62" s="46">
        <f t="shared" si="13"/>
        <v>4.13</v>
      </c>
      <c r="J62" s="50">
        <f t="shared" si="12"/>
        <v>10.33</v>
      </c>
      <c r="K62" s="1"/>
      <c r="L62" s="1"/>
      <c r="M62" s="92"/>
    </row>
    <row r="63" spans="2:13" ht="36" customHeight="1" x14ac:dyDescent="0.25">
      <c r="B63" s="47" t="s">
        <v>299</v>
      </c>
      <c r="C63" s="47" t="s">
        <v>176</v>
      </c>
      <c r="D63" s="48">
        <v>5914612</v>
      </c>
      <c r="E63" s="49" t="s">
        <v>209</v>
      </c>
      <c r="F63" s="48" t="s">
        <v>166</v>
      </c>
      <c r="G63" s="46">
        <f>G62*2.4*50</f>
        <v>300</v>
      </c>
      <c r="H63" s="46">
        <v>0.9</v>
      </c>
      <c r="I63" s="46">
        <f t="shared" si="13"/>
        <v>1.1100000000000001</v>
      </c>
      <c r="J63" s="50">
        <f t="shared" si="12"/>
        <v>333</v>
      </c>
      <c r="K63" s="1"/>
      <c r="L63" s="1"/>
      <c r="M63" s="92"/>
    </row>
    <row r="64" spans="2:13" ht="36" customHeight="1" x14ac:dyDescent="0.25">
      <c r="B64" s="47" t="s">
        <v>300</v>
      </c>
      <c r="C64" s="47" t="s">
        <v>165</v>
      </c>
      <c r="D64" s="48">
        <v>94288</v>
      </c>
      <c r="E64" s="49" t="s">
        <v>240</v>
      </c>
      <c r="F64" s="48" t="s">
        <v>23</v>
      </c>
      <c r="G64" s="46">
        <f>10.63+6.34+5.26+12.29+4.9</f>
        <v>39.419999999999995</v>
      </c>
      <c r="H64" s="46">
        <v>42.46</v>
      </c>
      <c r="I64" s="46">
        <f t="shared" si="13"/>
        <v>52.4</v>
      </c>
      <c r="J64" s="50">
        <f t="shared" si="12"/>
        <v>2065.61</v>
      </c>
      <c r="K64" s="1"/>
      <c r="L64" s="1"/>
      <c r="M64" s="92"/>
    </row>
    <row r="65" spans="2:13" ht="44.25" customHeight="1" x14ac:dyDescent="0.25">
      <c r="B65" s="47" t="s">
        <v>301</v>
      </c>
      <c r="C65" s="47" t="s">
        <v>165</v>
      </c>
      <c r="D65" s="48">
        <v>94274</v>
      </c>
      <c r="E65" s="49" t="s">
        <v>290</v>
      </c>
      <c r="F65" s="48" t="s">
        <v>23</v>
      </c>
      <c r="G65" s="46">
        <f>10.63+6.34+5.26+12.29+4.9</f>
        <v>39.419999999999995</v>
      </c>
      <c r="H65" s="46">
        <v>70.3</v>
      </c>
      <c r="I65" s="46">
        <f t="shared" ref="I65" si="14">ROUND(H65*(1+$I$8),2)</f>
        <v>86.76</v>
      </c>
      <c r="J65" s="50">
        <f t="shared" ref="J65" si="15">ROUND(I65*G65,2)</f>
        <v>3420.08</v>
      </c>
      <c r="K65" s="1"/>
      <c r="L65" s="1"/>
      <c r="M65" s="92"/>
    </row>
    <row r="66" spans="2:13" ht="24.95" customHeight="1" x14ac:dyDescent="0.25">
      <c r="B66" s="51">
        <v>8</v>
      </c>
      <c r="C66" s="51"/>
      <c r="D66" s="52"/>
      <c r="E66" s="53" t="s">
        <v>312</v>
      </c>
      <c r="F66" s="53"/>
      <c r="G66" s="54"/>
      <c r="H66" s="54"/>
      <c r="I66" s="55"/>
      <c r="J66" s="56">
        <f>SUM(J67:J75)</f>
        <v>52008.54</v>
      </c>
      <c r="K66" s="1"/>
      <c r="L66" s="1"/>
      <c r="M66" s="92"/>
    </row>
    <row r="67" spans="2:13" ht="30" customHeight="1" x14ac:dyDescent="0.25">
      <c r="B67" s="47" t="s">
        <v>313</v>
      </c>
      <c r="C67" s="47" t="s">
        <v>165</v>
      </c>
      <c r="D67" s="48">
        <v>99814</v>
      </c>
      <c r="E67" s="49" t="s">
        <v>203</v>
      </c>
      <c r="F67" s="48" t="s">
        <v>21</v>
      </c>
      <c r="G67" s="46">
        <v>340</v>
      </c>
      <c r="H67" s="46">
        <v>2.09</v>
      </c>
      <c r="I67" s="46">
        <f>ROUND(H67*(1+$I$8),2)</f>
        <v>2.58</v>
      </c>
      <c r="J67" s="50">
        <f t="shared" ref="J67:J75" si="16">ROUND(I67*G67,2)</f>
        <v>877.2</v>
      </c>
      <c r="K67" s="1"/>
      <c r="L67" s="1"/>
      <c r="M67" s="92"/>
    </row>
    <row r="68" spans="2:13" ht="30" customHeight="1" x14ac:dyDescent="0.25">
      <c r="B68" s="47" t="s">
        <v>314</v>
      </c>
      <c r="C68" s="47" t="s">
        <v>229</v>
      </c>
      <c r="D68" s="142" t="s">
        <v>230</v>
      </c>
      <c r="E68" s="49" t="s">
        <v>231</v>
      </c>
      <c r="F68" s="48" t="s">
        <v>21</v>
      </c>
      <c r="G68" s="46">
        <f>G67</f>
        <v>340</v>
      </c>
      <c r="H68" s="46">
        <v>2.5299999999999994</v>
      </c>
      <c r="I68" s="46">
        <f>ROUND(H68*(1+$I$8),2)</f>
        <v>3.12</v>
      </c>
      <c r="J68" s="50">
        <f t="shared" si="16"/>
        <v>1060.8</v>
      </c>
      <c r="K68" s="1"/>
      <c r="L68" s="1"/>
      <c r="M68" s="92"/>
    </row>
    <row r="69" spans="2:13" ht="34.5" customHeight="1" x14ac:dyDescent="0.25">
      <c r="B69" s="47" t="s">
        <v>315</v>
      </c>
      <c r="C69" s="47" t="s">
        <v>165</v>
      </c>
      <c r="D69" s="48">
        <v>102330</v>
      </c>
      <c r="E69" s="49" t="s">
        <v>204</v>
      </c>
      <c r="F69" s="48" t="s">
        <v>166</v>
      </c>
      <c r="G69" s="46">
        <f>(G68*0.005)*30</f>
        <v>51</v>
      </c>
      <c r="H69" s="46">
        <v>1.42</v>
      </c>
      <c r="I69" s="46">
        <f t="shared" ref="I69:I75" si="17">ROUND(H69*(1+$I$8),2)</f>
        <v>1.75</v>
      </c>
      <c r="J69" s="50">
        <f t="shared" si="16"/>
        <v>89.25</v>
      </c>
      <c r="K69" s="1"/>
      <c r="L69" s="1"/>
      <c r="M69" s="92"/>
    </row>
    <row r="70" spans="2:13" ht="47.25" customHeight="1" x14ac:dyDescent="0.25">
      <c r="B70" s="47" t="s">
        <v>316</v>
      </c>
      <c r="C70" s="47" t="s">
        <v>165</v>
      </c>
      <c r="D70" s="48">
        <v>102331</v>
      </c>
      <c r="E70" s="49" t="s">
        <v>205</v>
      </c>
      <c r="F70" s="48" t="s">
        <v>166</v>
      </c>
      <c r="G70" s="46">
        <f>(G68*0.005)*20</f>
        <v>34</v>
      </c>
      <c r="H70" s="46">
        <v>0.56000000000000005</v>
      </c>
      <c r="I70" s="46">
        <f t="shared" si="17"/>
        <v>0.69</v>
      </c>
      <c r="J70" s="50">
        <f t="shared" si="16"/>
        <v>23.46</v>
      </c>
      <c r="K70" s="1"/>
      <c r="L70" s="1"/>
      <c r="M70" s="92"/>
    </row>
    <row r="71" spans="2:13" ht="37.5" customHeight="1" x14ac:dyDescent="0.25">
      <c r="B71" s="47" t="s">
        <v>317</v>
      </c>
      <c r="C71" s="47" t="s">
        <v>165</v>
      </c>
      <c r="D71" s="48">
        <v>95996</v>
      </c>
      <c r="E71" s="49" t="s">
        <v>206</v>
      </c>
      <c r="F71" s="48" t="s">
        <v>22</v>
      </c>
      <c r="G71" s="46">
        <f>G67*0.02</f>
        <v>6.8</v>
      </c>
      <c r="H71" s="46">
        <v>1689.8</v>
      </c>
      <c r="I71" s="46">
        <f t="shared" si="17"/>
        <v>2085.5100000000002</v>
      </c>
      <c r="J71" s="50">
        <f t="shared" si="16"/>
        <v>14181.47</v>
      </c>
      <c r="K71" s="1"/>
      <c r="L71" s="1"/>
      <c r="M71" s="92"/>
    </row>
    <row r="72" spans="2:13" ht="37.5" customHeight="1" x14ac:dyDescent="0.25">
      <c r="B72" s="47" t="s">
        <v>318</v>
      </c>
      <c r="C72" s="47" t="s">
        <v>165</v>
      </c>
      <c r="D72" s="48">
        <v>95995</v>
      </c>
      <c r="E72" s="49" t="s">
        <v>207</v>
      </c>
      <c r="F72" s="48" t="s">
        <v>22</v>
      </c>
      <c r="G72" s="46">
        <f>G67*0.03</f>
        <v>10.199999999999999</v>
      </c>
      <c r="H72" s="46">
        <v>1948.89</v>
      </c>
      <c r="I72" s="46">
        <f t="shared" si="17"/>
        <v>2405.27</v>
      </c>
      <c r="J72" s="50">
        <f t="shared" si="16"/>
        <v>24533.75</v>
      </c>
      <c r="K72" s="1"/>
      <c r="L72" s="1"/>
      <c r="M72" s="92"/>
    </row>
    <row r="73" spans="2:13" ht="30" customHeight="1" x14ac:dyDescent="0.25">
      <c r="B73" s="47" t="s">
        <v>319</v>
      </c>
      <c r="C73" s="47" t="s">
        <v>201</v>
      </c>
      <c r="D73" s="48" t="s">
        <v>167</v>
      </c>
      <c r="E73" s="49" t="s">
        <v>168</v>
      </c>
      <c r="F73" s="48" t="s">
        <v>22</v>
      </c>
      <c r="G73" s="46">
        <f>(G71+G72)</f>
        <v>17</v>
      </c>
      <c r="H73" s="46">
        <v>3.35</v>
      </c>
      <c r="I73" s="46">
        <f t="shared" si="17"/>
        <v>4.13</v>
      </c>
      <c r="J73" s="50">
        <f t="shared" si="16"/>
        <v>70.209999999999994</v>
      </c>
      <c r="K73" s="1"/>
      <c r="L73" s="1"/>
      <c r="M73" s="92"/>
    </row>
    <row r="74" spans="2:13" ht="36" customHeight="1" x14ac:dyDescent="0.25">
      <c r="B74" s="47" t="s">
        <v>320</v>
      </c>
      <c r="C74" s="47" t="s">
        <v>176</v>
      </c>
      <c r="D74" s="48">
        <v>5914612</v>
      </c>
      <c r="E74" s="49" t="s">
        <v>209</v>
      </c>
      <c r="F74" s="48" t="s">
        <v>166</v>
      </c>
      <c r="G74" s="46">
        <f>G73*2.4*50</f>
        <v>2039.9999999999998</v>
      </c>
      <c r="H74" s="46">
        <v>0.9</v>
      </c>
      <c r="I74" s="46">
        <f t="shared" si="17"/>
        <v>1.1100000000000001</v>
      </c>
      <c r="J74" s="50">
        <f t="shared" si="16"/>
        <v>2264.4</v>
      </c>
      <c r="K74" s="1"/>
      <c r="L74" s="1"/>
      <c r="M74" s="92"/>
    </row>
    <row r="75" spans="2:13" ht="36" customHeight="1" x14ac:dyDescent="0.25">
      <c r="B75" s="47" t="s">
        <v>321</v>
      </c>
      <c r="C75" s="47" t="s">
        <v>165</v>
      </c>
      <c r="D75" s="48">
        <v>94288</v>
      </c>
      <c r="E75" s="49" t="s">
        <v>240</v>
      </c>
      <c r="F75" s="48" t="s">
        <v>23</v>
      </c>
      <c r="G75" s="46">
        <f>85*2</f>
        <v>170</v>
      </c>
      <c r="H75" s="46">
        <v>42.46</v>
      </c>
      <c r="I75" s="46">
        <f t="shared" si="17"/>
        <v>52.4</v>
      </c>
      <c r="J75" s="50">
        <f t="shared" si="16"/>
        <v>8908</v>
      </c>
      <c r="K75" s="1"/>
      <c r="L75" s="1"/>
      <c r="M75" s="92"/>
    </row>
    <row r="76" spans="2:13" ht="3.75" customHeight="1" x14ac:dyDescent="0.25">
      <c r="B76" s="157"/>
      <c r="C76" s="157"/>
      <c r="D76" s="157"/>
      <c r="E76" s="157"/>
      <c r="F76" s="157"/>
      <c r="G76" s="157"/>
      <c r="H76" s="157"/>
      <c r="I76" s="157"/>
      <c r="J76" s="158"/>
      <c r="K76" s="1"/>
      <c r="L76" s="1"/>
    </row>
    <row r="77" spans="2:13" ht="32.25" customHeight="1" x14ac:dyDescent="0.25">
      <c r="B77" s="161"/>
      <c r="C77" s="162"/>
      <c r="D77" s="162"/>
      <c r="E77" s="162"/>
      <c r="F77" s="162"/>
      <c r="G77" s="162"/>
      <c r="H77" s="163"/>
      <c r="I77" s="45" t="s">
        <v>27</v>
      </c>
      <c r="J77" s="34">
        <f>J45+J35+J25+J15++J13+J11+J55+J66</f>
        <v>351720.44</v>
      </c>
      <c r="K77" s="1"/>
      <c r="L77" s="140"/>
    </row>
    <row r="78" spans="2:13" ht="75" customHeight="1" x14ac:dyDescent="0.25">
      <c r="B78" s="6" t="s">
        <v>208</v>
      </c>
      <c r="C78" s="6"/>
      <c r="D78" s="7"/>
      <c r="E78" s="6"/>
      <c r="F78" s="7"/>
      <c r="G78" s="21"/>
      <c r="H78" s="7"/>
      <c r="I78" s="6"/>
      <c r="J78" s="7"/>
    </row>
    <row r="79" spans="2:13" x14ac:dyDescent="0.25">
      <c r="B79" s="7" t="str">
        <f t="array" ref="B79">PROPER(IF(B4=VLOOKUP('P. O.'!B4:B4,DADOS!B:F,1,0),B4,0))</f>
        <v>Prefeitura Municipal De Santos Dumont</v>
      </c>
      <c r="C79" s="7"/>
      <c r="G79" s="159" t="s">
        <v>25</v>
      </c>
      <c r="H79" s="159"/>
      <c r="I79" s="159"/>
      <c r="J79" s="159"/>
    </row>
    <row r="80" spans="2:13" x14ac:dyDescent="0.25">
      <c r="B80" s="141" t="str">
        <f t="array" ref="B80">PROPER(IF(B4=VLOOKUP('P. O.'!B4:B4,DADOS!B:D,1,0),VLOOKUP('P. O.'!B4:B4,DADOS!B:D,3,0),0))</f>
        <v>Pacífico Estites Rodrigues Júnior</v>
      </c>
      <c r="C80" s="4"/>
      <c r="G80" s="160" t="s">
        <v>182</v>
      </c>
      <c r="H80" s="160"/>
      <c r="I80" s="160"/>
      <c r="J80" s="160"/>
    </row>
    <row r="81" spans="2:10" x14ac:dyDescent="0.25">
      <c r="B81" s="141" t="str">
        <f t="array" ref="B81">PROPER(IF(B4=VLOOKUP('P. O.'!B4:B4,DADOS!B:D,1,0),VLOOKUP('P. O.'!B4:B4,DADOS!B:D,2,0),0))</f>
        <v>Prefeito Municipal De Santos Dumont</v>
      </c>
      <c r="C81" s="4"/>
      <c r="G81" s="160" t="str">
        <f>IF(G80=DADOS!AS7,"Engenheira Civil","Engenheiro Civil")</f>
        <v>Engenheiro Civil</v>
      </c>
      <c r="H81" s="160"/>
      <c r="I81" s="160"/>
      <c r="J81" s="160"/>
    </row>
    <row r="82" spans="2:10" x14ac:dyDescent="0.25">
      <c r="B82" s="4"/>
      <c r="C82" s="4"/>
      <c r="D82" s="1"/>
      <c r="E82" s="1"/>
      <c r="G82" s="160" t="str" cm="1">
        <f t="array" ref="G82">IF(G80=VLOOKUP('P. O.'!G80:G80,DADOS!AS:AT,1,0),VLOOKUP('P. O.'!G80:G80,DADOS!AS:AT,2,0),0)</f>
        <v>CREA-MG 351.037/D</v>
      </c>
      <c r="H82" s="160"/>
      <c r="I82" s="160"/>
      <c r="J82" s="160"/>
    </row>
  </sheetData>
  <sheetProtection selectLockedCells="1" selectUnlockedCells="1"/>
  <mergeCells count="21">
    <mergeCell ref="I6:J6"/>
    <mergeCell ref="I7:J7"/>
    <mergeCell ref="I8:J8"/>
    <mergeCell ref="F8:H8"/>
    <mergeCell ref="F6:H6"/>
    <mergeCell ref="F7:H7"/>
    <mergeCell ref="B1:J1"/>
    <mergeCell ref="B2:J2"/>
    <mergeCell ref="F5:H5"/>
    <mergeCell ref="F3:H3"/>
    <mergeCell ref="I3:J3"/>
    <mergeCell ref="I4:J4"/>
    <mergeCell ref="I5:J5"/>
    <mergeCell ref="F4:H4"/>
    <mergeCell ref="B4:E4"/>
    <mergeCell ref="B76:J76"/>
    <mergeCell ref="G79:J79"/>
    <mergeCell ref="G80:J80"/>
    <mergeCell ref="G81:J81"/>
    <mergeCell ref="G82:J82"/>
    <mergeCell ref="B77:H77"/>
  </mergeCells>
  <phoneticPr fontId="44" type="noConversion"/>
  <pageMargins left="0.47244094488188981" right="0.35433070866141736" top="0.43307086614173229" bottom="0.35433070866141736" header="0.43307086614173229" footer="0.35433070866141736"/>
  <pageSetup paperSize="9" scale="77" firstPageNumber="0" fitToHeight="0" orientation="landscape" horizontalDpi="360" verticalDpi="36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20E4895E-43D1-4A74-9F3B-622C5D0BCFE3}">
          <x14:formula1>
            <xm:f>DADOS!$AM$10:$AM$11</xm:f>
          </x14:formula1>
          <xm:sqref>F8:H8</xm:sqref>
        </x14:dataValidation>
        <x14:dataValidation type="list" allowBlank="1" showInputMessage="1" showErrorMessage="1" xr:uid="{00000000-0002-0000-0200-000000000000}">
          <x14:formula1>
            <xm:f>DADOS!$B$2:$B$20</xm:f>
          </x14:formula1>
          <xm:sqref>B4:E4</xm:sqref>
        </x14:dataValidation>
        <x14:dataValidation type="list" allowBlank="1" showInputMessage="1" showErrorMessage="1" xr:uid="{9DF098C8-7515-469C-B67E-17A8D4651E4A}">
          <x14:formula1>
            <xm:f>DADOS!$AS$3:$AS$7</xm:f>
          </x14:formula1>
          <xm:sqref>G80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65304-8553-4638-BCED-2A6AC7599112}">
  <sheetPr>
    <pageSetUpPr fitToPage="1"/>
  </sheetPr>
  <dimension ref="B1:M81"/>
  <sheetViews>
    <sheetView view="pageBreakPreview" zoomScaleNormal="100" zoomScaleSheetLayoutView="100" workbookViewId="0">
      <selection activeCell="K1" sqref="K1:M81"/>
    </sheetView>
  </sheetViews>
  <sheetFormatPr defaultRowHeight="15" x14ac:dyDescent="0.25"/>
  <cols>
    <col min="2" max="2" width="9.140625" customWidth="1"/>
    <col min="3" max="4" width="12.7109375" customWidth="1"/>
    <col min="5" max="5" width="77.5703125" customWidth="1"/>
    <col min="6" max="6" width="9.140625" customWidth="1"/>
    <col min="7" max="7" width="11.140625" style="3" customWidth="1"/>
    <col min="8" max="10" width="15.7109375" customWidth="1"/>
    <col min="11" max="11" width="11.7109375" customWidth="1"/>
    <col min="12" max="12" width="16.42578125" customWidth="1"/>
    <col min="13" max="13" width="54.140625" customWidth="1"/>
  </cols>
  <sheetData>
    <row r="1" spans="2:13" ht="120" customHeight="1" x14ac:dyDescent="0.25">
      <c r="B1" s="164"/>
      <c r="C1" s="165"/>
      <c r="D1" s="165"/>
      <c r="E1" s="165"/>
      <c r="F1" s="165"/>
      <c r="G1" s="165"/>
      <c r="H1" s="165"/>
      <c r="I1" s="165"/>
      <c r="J1" s="166"/>
    </row>
    <row r="2" spans="2:13" s="35" customFormat="1" ht="24.95" customHeight="1" x14ac:dyDescent="0.25">
      <c r="B2" s="167" t="s">
        <v>255</v>
      </c>
      <c r="C2" s="168"/>
      <c r="D2" s="168"/>
      <c r="E2" s="168"/>
      <c r="F2" s="168"/>
      <c r="G2" s="168"/>
      <c r="H2" s="168"/>
      <c r="I2" s="168"/>
      <c r="J2" s="169"/>
      <c r="M2" s="93"/>
    </row>
    <row r="3" spans="2:13" s="35" customFormat="1" ht="20.100000000000001" customHeight="1" x14ac:dyDescent="0.25">
      <c r="B3" s="62" t="s">
        <v>60</v>
      </c>
      <c r="C3" s="63"/>
      <c r="D3" s="63"/>
      <c r="E3" s="68"/>
      <c r="F3" s="173" t="s">
        <v>174</v>
      </c>
      <c r="G3" s="174"/>
      <c r="H3" s="175"/>
      <c r="I3" s="174" t="s">
        <v>57</v>
      </c>
      <c r="J3" s="176"/>
      <c r="M3" s="94"/>
    </row>
    <row r="4" spans="2:13" s="35" customFormat="1" x14ac:dyDescent="0.25">
      <c r="B4" s="179" t="s">
        <v>119</v>
      </c>
      <c r="C4" s="180"/>
      <c r="D4" s="180"/>
      <c r="E4" s="181"/>
      <c r="F4" s="170" t="s">
        <v>227</v>
      </c>
      <c r="G4" s="171"/>
      <c r="H4" s="172"/>
      <c r="I4" s="177">
        <v>46049</v>
      </c>
      <c r="J4" s="178"/>
    </row>
    <row r="5" spans="2:13" s="35" customFormat="1" x14ac:dyDescent="0.25">
      <c r="B5" s="62" t="s">
        <v>61</v>
      </c>
      <c r="C5" s="63"/>
      <c r="D5" s="63"/>
      <c r="E5" s="68"/>
      <c r="F5" s="170" t="s">
        <v>288</v>
      </c>
      <c r="G5" s="171"/>
      <c r="H5" s="172"/>
      <c r="I5" s="174" t="s">
        <v>58</v>
      </c>
      <c r="J5" s="176"/>
    </row>
    <row r="6" spans="2:13" s="66" customFormat="1" x14ac:dyDescent="0.25">
      <c r="B6" s="137" t="s">
        <v>226</v>
      </c>
      <c r="C6" s="65"/>
      <c r="D6" s="65"/>
      <c r="E6" s="69"/>
      <c r="F6" s="170" t="s">
        <v>228</v>
      </c>
      <c r="G6" s="171"/>
      <c r="H6" s="172"/>
      <c r="I6" s="182">
        <f t="array" ref="I6">IF(B4=VLOOKUP('MEM CALCULO'!B4:B4,DADOS!B:F,1,0),VLOOKUP('MEM CALCULO'!B4:B4,DADOS!B:F,5,0),0)</f>
        <v>0.05</v>
      </c>
      <c r="J6" s="183"/>
    </row>
    <row r="7" spans="2:13" s="35" customFormat="1" x14ac:dyDescent="0.25">
      <c r="B7" s="138" t="s">
        <v>62</v>
      </c>
      <c r="C7" s="63"/>
      <c r="D7" s="63"/>
      <c r="E7" s="63"/>
      <c r="F7" s="189"/>
      <c r="G7" s="190"/>
      <c r="H7" s="191"/>
      <c r="I7" s="173" t="s">
        <v>56</v>
      </c>
      <c r="J7" s="176"/>
      <c r="K7" s="61"/>
      <c r="L7" s="61"/>
    </row>
    <row r="8" spans="2:13" s="66" customFormat="1" ht="15.75" thickBot="1" x14ac:dyDescent="0.3">
      <c r="B8" s="139" t="s">
        <v>252</v>
      </c>
      <c r="C8" s="71"/>
      <c r="D8" s="71"/>
      <c r="E8" s="72"/>
      <c r="F8" s="186" t="s">
        <v>135</v>
      </c>
      <c r="G8" s="187"/>
      <c r="H8" s="188"/>
      <c r="I8" s="184">
        <f>BDI!C26</f>
        <v>0.2341733314864145</v>
      </c>
      <c r="J8" s="185"/>
      <c r="K8" s="67"/>
      <c r="L8" s="67"/>
    </row>
    <row r="9" spans="2:13" ht="9.9499999999999993" customHeight="1" x14ac:dyDescent="0.25"/>
    <row r="10" spans="2:13" ht="35.1" customHeight="1" x14ac:dyDescent="0.25">
      <c r="B10" s="57" t="s">
        <v>0</v>
      </c>
      <c r="C10" s="57" t="s">
        <v>54</v>
      </c>
      <c r="D10" s="57" t="s">
        <v>1</v>
      </c>
      <c r="E10" s="57" t="s">
        <v>2</v>
      </c>
      <c r="F10" s="57" t="s">
        <v>3</v>
      </c>
      <c r="G10" s="58" t="s">
        <v>4</v>
      </c>
      <c r="H10" s="198" t="s">
        <v>255</v>
      </c>
      <c r="I10" s="199"/>
      <c r="J10" s="200"/>
      <c r="K10" s="1"/>
      <c r="L10" s="1"/>
      <c r="M10" s="91"/>
    </row>
    <row r="11" spans="2:13" ht="24.95" customHeight="1" x14ac:dyDescent="0.25">
      <c r="B11" s="51">
        <v>1</v>
      </c>
      <c r="C11" s="51"/>
      <c r="D11" s="52"/>
      <c r="E11" s="53" t="s">
        <v>19</v>
      </c>
      <c r="F11" s="53"/>
      <c r="G11" s="54"/>
      <c r="H11" s="195"/>
      <c r="I11" s="196"/>
      <c r="J11" s="197"/>
      <c r="K11" s="1"/>
      <c r="L11" s="1"/>
      <c r="M11" s="92"/>
    </row>
    <row r="12" spans="2:13" ht="58.5" customHeight="1" x14ac:dyDescent="0.25">
      <c r="B12" s="47" t="s">
        <v>6</v>
      </c>
      <c r="C12" s="47" t="s">
        <v>201</v>
      </c>
      <c r="D12" s="48" t="s">
        <v>162</v>
      </c>
      <c r="E12" s="49" t="s">
        <v>163</v>
      </c>
      <c r="F12" s="48" t="s">
        <v>20</v>
      </c>
      <c r="G12" s="46">
        <v>1</v>
      </c>
      <c r="H12" s="192">
        <v>1</v>
      </c>
      <c r="I12" s="193"/>
      <c r="J12" s="194"/>
      <c r="K12" s="1"/>
      <c r="L12" s="1"/>
      <c r="M12" s="92"/>
    </row>
    <row r="13" spans="2:13" ht="24.95" customHeight="1" x14ac:dyDescent="0.25">
      <c r="B13" s="51">
        <v>2</v>
      </c>
      <c r="C13" s="51"/>
      <c r="D13" s="52"/>
      <c r="E13" s="53" t="s">
        <v>191</v>
      </c>
      <c r="F13" s="53"/>
      <c r="G13" s="54"/>
      <c r="H13" s="195"/>
      <c r="I13" s="196"/>
      <c r="J13" s="197"/>
      <c r="K13" s="1"/>
      <c r="L13" s="1"/>
      <c r="M13" s="92"/>
    </row>
    <row r="14" spans="2:13" ht="30" customHeight="1" x14ac:dyDescent="0.25">
      <c r="B14" s="47" t="s">
        <v>8</v>
      </c>
      <c r="C14" s="47" t="s">
        <v>165</v>
      </c>
      <c r="D14" s="48">
        <v>90777</v>
      </c>
      <c r="E14" s="49" t="s">
        <v>291</v>
      </c>
      <c r="F14" s="48" t="s">
        <v>164</v>
      </c>
      <c r="G14" s="46">
        <f>3*(4*4*2.5)</f>
        <v>120</v>
      </c>
      <c r="H14" s="192" t="s">
        <v>302</v>
      </c>
      <c r="I14" s="193"/>
      <c r="J14" s="194"/>
      <c r="K14" s="1"/>
      <c r="L14" s="1"/>
      <c r="M14" s="92"/>
    </row>
    <row r="15" spans="2:13" ht="24.95" customHeight="1" x14ac:dyDescent="0.25">
      <c r="B15" s="51">
        <v>3</v>
      </c>
      <c r="C15" s="51"/>
      <c r="D15" s="52"/>
      <c r="E15" s="53" t="s">
        <v>222</v>
      </c>
      <c r="F15" s="53"/>
      <c r="G15" s="54"/>
      <c r="H15" s="195"/>
      <c r="I15" s="196"/>
      <c r="J15" s="197"/>
      <c r="K15" s="1"/>
      <c r="L15" s="1"/>
      <c r="M15" s="92"/>
    </row>
    <row r="16" spans="2:13" ht="30" customHeight="1" x14ac:dyDescent="0.25">
      <c r="B16" s="47" t="s">
        <v>10</v>
      </c>
      <c r="C16" s="47" t="s">
        <v>165</v>
      </c>
      <c r="D16" s="48">
        <v>99814</v>
      </c>
      <c r="E16" s="49" t="s">
        <v>203</v>
      </c>
      <c r="F16" s="48" t="s">
        <v>21</v>
      </c>
      <c r="G16" s="46">
        <v>458</v>
      </c>
      <c r="H16" s="192" t="s">
        <v>263</v>
      </c>
      <c r="I16" s="193"/>
      <c r="J16" s="194"/>
      <c r="K16" s="1"/>
      <c r="L16" s="1"/>
      <c r="M16" s="92"/>
    </row>
    <row r="17" spans="2:13" ht="30" customHeight="1" x14ac:dyDescent="0.25">
      <c r="B17" s="47" t="s">
        <v>11</v>
      </c>
      <c r="C17" s="47" t="s">
        <v>229</v>
      </c>
      <c r="D17" s="142" t="s">
        <v>230</v>
      </c>
      <c r="E17" s="49" t="s">
        <v>231</v>
      </c>
      <c r="F17" s="48" t="s">
        <v>21</v>
      </c>
      <c r="G17" s="46">
        <f>G16</f>
        <v>458</v>
      </c>
      <c r="H17" s="192" t="s">
        <v>263</v>
      </c>
      <c r="I17" s="193"/>
      <c r="J17" s="194"/>
      <c r="K17" s="1"/>
      <c r="L17" s="1"/>
      <c r="M17" s="92"/>
    </row>
    <row r="18" spans="2:13" ht="34.5" customHeight="1" x14ac:dyDescent="0.25">
      <c r="B18" s="47" t="s">
        <v>202</v>
      </c>
      <c r="C18" s="47" t="s">
        <v>165</v>
      </c>
      <c r="D18" s="48">
        <v>102330</v>
      </c>
      <c r="E18" s="49" t="s">
        <v>204</v>
      </c>
      <c r="F18" s="48" t="s">
        <v>166</v>
      </c>
      <c r="G18" s="46">
        <f>(G17*0.005)*30</f>
        <v>68.7</v>
      </c>
      <c r="H18" s="192" t="s">
        <v>256</v>
      </c>
      <c r="I18" s="193"/>
      <c r="J18" s="194"/>
      <c r="K18" s="1"/>
      <c r="L18" s="1"/>
      <c r="M18" s="92"/>
    </row>
    <row r="19" spans="2:13" ht="47.25" customHeight="1" x14ac:dyDescent="0.25">
      <c r="B19" s="47" t="s">
        <v>246</v>
      </c>
      <c r="C19" s="47" t="s">
        <v>165</v>
      </c>
      <c r="D19" s="48">
        <v>102331</v>
      </c>
      <c r="E19" s="49" t="s">
        <v>205</v>
      </c>
      <c r="F19" s="48" t="s">
        <v>166</v>
      </c>
      <c r="G19" s="46">
        <f>(G17*0.005)*20</f>
        <v>45.8</v>
      </c>
      <c r="H19" s="192" t="s">
        <v>257</v>
      </c>
      <c r="I19" s="193"/>
      <c r="J19" s="194"/>
      <c r="K19" s="1"/>
      <c r="L19" s="1"/>
      <c r="M19" s="92"/>
    </row>
    <row r="20" spans="2:13" ht="36" customHeight="1" x14ac:dyDescent="0.25">
      <c r="B20" s="47" t="s">
        <v>247</v>
      </c>
      <c r="C20" s="47" t="s">
        <v>165</v>
      </c>
      <c r="D20" s="48">
        <v>95996</v>
      </c>
      <c r="E20" s="49" t="s">
        <v>206</v>
      </c>
      <c r="F20" s="48" t="s">
        <v>22</v>
      </c>
      <c r="G20" s="46">
        <f>G16*0.02</f>
        <v>9.16</v>
      </c>
      <c r="H20" s="192" t="s">
        <v>258</v>
      </c>
      <c r="I20" s="193"/>
      <c r="J20" s="194"/>
      <c r="K20" s="1"/>
      <c r="L20" s="1"/>
      <c r="M20" s="92"/>
    </row>
    <row r="21" spans="2:13" ht="36" customHeight="1" x14ac:dyDescent="0.25">
      <c r="B21" s="47" t="s">
        <v>248</v>
      </c>
      <c r="C21" s="47" t="s">
        <v>165</v>
      </c>
      <c r="D21" s="48">
        <v>95995</v>
      </c>
      <c r="E21" s="49" t="s">
        <v>207</v>
      </c>
      <c r="F21" s="48" t="s">
        <v>22</v>
      </c>
      <c r="G21" s="46">
        <f>G16*0.03</f>
        <v>13.74</v>
      </c>
      <c r="H21" s="192" t="s">
        <v>259</v>
      </c>
      <c r="I21" s="193"/>
      <c r="J21" s="194"/>
      <c r="K21" s="1"/>
      <c r="L21" s="1"/>
      <c r="M21" s="92"/>
    </row>
    <row r="22" spans="2:13" ht="36" customHeight="1" x14ac:dyDescent="0.25">
      <c r="B22" s="47" t="s">
        <v>249</v>
      </c>
      <c r="C22" s="47" t="s">
        <v>201</v>
      </c>
      <c r="D22" s="48" t="s">
        <v>167</v>
      </c>
      <c r="E22" s="49" t="s">
        <v>168</v>
      </c>
      <c r="F22" s="48" t="s">
        <v>22</v>
      </c>
      <c r="G22" s="46">
        <f>(G20+G21)</f>
        <v>22.9</v>
      </c>
      <c r="H22" s="192" t="s">
        <v>260</v>
      </c>
      <c r="I22" s="193"/>
      <c r="J22" s="194"/>
      <c r="K22" s="1"/>
      <c r="L22" s="1"/>
      <c r="M22" s="92"/>
    </row>
    <row r="23" spans="2:13" ht="36" customHeight="1" x14ac:dyDescent="0.25">
      <c r="B23" s="47" t="s">
        <v>250</v>
      </c>
      <c r="C23" s="47" t="s">
        <v>176</v>
      </c>
      <c r="D23" s="48">
        <v>5914612</v>
      </c>
      <c r="E23" s="49" t="s">
        <v>209</v>
      </c>
      <c r="F23" s="48" t="s">
        <v>166</v>
      </c>
      <c r="G23" s="46">
        <f>G22*2.4*50</f>
        <v>2747.9999999999995</v>
      </c>
      <c r="H23" s="192" t="s">
        <v>261</v>
      </c>
      <c r="I23" s="193"/>
      <c r="J23" s="194"/>
      <c r="K23" s="1"/>
      <c r="L23" s="1"/>
      <c r="M23" s="92"/>
    </row>
    <row r="24" spans="2:13" ht="36" customHeight="1" x14ac:dyDescent="0.25">
      <c r="B24" s="47" t="s">
        <v>254</v>
      </c>
      <c r="C24" s="47" t="s">
        <v>165</v>
      </c>
      <c r="D24" s="48">
        <v>94288</v>
      </c>
      <c r="E24" s="49" t="s">
        <v>240</v>
      </c>
      <c r="F24" s="48" t="s">
        <v>23</v>
      </c>
      <c r="G24" s="46">
        <f>100.13+26.85+30.35+104.73</f>
        <v>262.06</v>
      </c>
      <c r="H24" s="192" t="s">
        <v>262</v>
      </c>
      <c r="I24" s="193"/>
      <c r="J24" s="194"/>
      <c r="K24" s="1"/>
      <c r="L24" s="1"/>
      <c r="M24" s="92"/>
    </row>
    <row r="25" spans="2:13" ht="24.95" customHeight="1" x14ac:dyDescent="0.25">
      <c r="B25" s="51">
        <v>4</v>
      </c>
      <c r="C25" s="51"/>
      <c r="D25" s="52"/>
      <c r="E25" s="53" t="s">
        <v>224</v>
      </c>
      <c r="F25" s="53"/>
      <c r="G25" s="54"/>
      <c r="H25" s="195"/>
      <c r="I25" s="196"/>
      <c r="J25" s="197"/>
      <c r="K25" s="1"/>
      <c r="L25" s="1"/>
      <c r="M25" s="92"/>
    </row>
    <row r="26" spans="2:13" ht="30" customHeight="1" x14ac:dyDescent="0.25">
      <c r="B26" s="47" t="s">
        <v>13</v>
      </c>
      <c r="C26" s="47" t="s">
        <v>165</v>
      </c>
      <c r="D26" s="48">
        <v>99814</v>
      </c>
      <c r="E26" s="49" t="s">
        <v>203</v>
      </c>
      <c r="F26" s="48" t="s">
        <v>21</v>
      </c>
      <c r="G26" s="46">
        <v>789</v>
      </c>
      <c r="H26" s="192" t="s">
        <v>264</v>
      </c>
      <c r="I26" s="193"/>
      <c r="J26" s="194"/>
      <c r="K26" s="1"/>
      <c r="L26" s="1"/>
      <c r="M26" s="92"/>
    </row>
    <row r="27" spans="2:13" ht="30" customHeight="1" x14ac:dyDescent="0.25">
      <c r="B27" s="47" t="s">
        <v>232</v>
      </c>
      <c r="C27" s="47" t="s">
        <v>229</v>
      </c>
      <c r="D27" s="142" t="s">
        <v>230</v>
      </c>
      <c r="E27" s="49" t="s">
        <v>231</v>
      </c>
      <c r="F27" s="48" t="s">
        <v>21</v>
      </c>
      <c r="G27" s="46">
        <f>G26</f>
        <v>789</v>
      </c>
      <c r="H27" s="192" t="s">
        <v>264</v>
      </c>
      <c r="I27" s="193"/>
      <c r="J27" s="194"/>
      <c r="K27" s="1"/>
      <c r="L27" s="1"/>
      <c r="M27" s="92"/>
    </row>
    <row r="28" spans="2:13" ht="34.5" customHeight="1" x14ac:dyDescent="0.25">
      <c r="B28" s="47" t="s">
        <v>233</v>
      </c>
      <c r="C28" s="47" t="s">
        <v>165</v>
      </c>
      <c r="D28" s="48">
        <v>102330</v>
      </c>
      <c r="E28" s="49" t="s">
        <v>204</v>
      </c>
      <c r="F28" s="48" t="s">
        <v>166</v>
      </c>
      <c r="G28" s="46">
        <f>(G27*0.005)*30</f>
        <v>118.35000000000001</v>
      </c>
      <c r="H28" s="192" t="s">
        <v>265</v>
      </c>
      <c r="I28" s="193"/>
      <c r="J28" s="194"/>
      <c r="K28" s="1"/>
      <c r="L28" s="1"/>
      <c r="M28" s="92"/>
    </row>
    <row r="29" spans="2:13" ht="47.25" customHeight="1" x14ac:dyDescent="0.25">
      <c r="B29" s="47" t="s">
        <v>234</v>
      </c>
      <c r="C29" s="47" t="s">
        <v>165</v>
      </c>
      <c r="D29" s="48">
        <v>102331</v>
      </c>
      <c r="E29" s="49" t="s">
        <v>205</v>
      </c>
      <c r="F29" s="48" t="s">
        <v>166</v>
      </c>
      <c r="G29" s="46">
        <f>(G27*0.005)*20</f>
        <v>78.900000000000006</v>
      </c>
      <c r="H29" s="192" t="s">
        <v>266</v>
      </c>
      <c r="I29" s="193"/>
      <c r="J29" s="194"/>
      <c r="K29" s="1"/>
      <c r="L29" s="1"/>
      <c r="M29" s="92"/>
    </row>
    <row r="30" spans="2:13" ht="39.75" customHeight="1" x14ac:dyDescent="0.25">
      <c r="B30" s="47" t="s">
        <v>235</v>
      </c>
      <c r="C30" s="47" t="s">
        <v>165</v>
      </c>
      <c r="D30" s="48">
        <v>95996</v>
      </c>
      <c r="E30" s="49" t="s">
        <v>206</v>
      </c>
      <c r="F30" s="48" t="s">
        <v>22</v>
      </c>
      <c r="G30" s="46">
        <f>G26*0.02</f>
        <v>15.780000000000001</v>
      </c>
      <c r="H30" s="192" t="s">
        <v>267</v>
      </c>
      <c r="I30" s="193"/>
      <c r="J30" s="194"/>
      <c r="K30" s="1"/>
      <c r="L30" s="1"/>
      <c r="M30" s="92"/>
    </row>
    <row r="31" spans="2:13" ht="37.5" customHeight="1" x14ac:dyDescent="0.25">
      <c r="B31" s="47" t="s">
        <v>236</v>
      </c>
      <c r="C31" s="47" t="s">
        <v>165</v>
      </c>
      <c r="D31" s="48">
        <v>95995</v>
      </c>
      <c r="E31" s="49" t="s">
        <v>207</v>
      </c>
      <c r="F31" s="48" t="s">
        <v>22</v>
      </c>
      <c r="G31" s="46">
        <f>G26*0.03</f>
        <v>23.669999999999998</v>
      </c>
      <c r="H31" s="192" t="s">
        <v>268</v>
      </c>
      <c r="I31" s="193"/>
      <c r="J31" s="194"/>
      <c r="K31" s="1"/>
      <c r="L31" s="1"/>
      <c r="M31" s="92"/>
    </row>
    <row r="32" spans="2:13" ht="30" customHeight="1" x14ac:dyDescent="0.25">
      <c r="B32" s="47" t="s">
        <v>237</v>
      </c>
      <c r="C32" s="47" t="s">
        <v>201</v>
      </c>
      <c r="D32" s="48" t="s">
        <v>167</v>
      </c>
      <c r="E32" s="49" t="s">
        <v>168</v>
      </c>
      <c r="F32" s="48" t="s">
        <v>22</v>
      </c>
      <c r="G32" s="46">
        <f>(G30+G31)</f>
        <v>39.450000000000003</v>
      </c>
      <c r="H32" s="192" t="s">
        <v>269</v>
      </c>
      <c r="I32" s="193"/>
      <c r="J32" s="194"/>
      <c r="K32" s="1"/>
      <c r="L32" s="1"/>
      <c r="M32" s="92"/>
    </row>
    <row r="33" spans="2:13" ht="36" customHeight="1" x14ac:dyDescent="0.25">
      <c r="B33" s="47" t="s">
        <v>238</v>
      </c>
      <c r="C33" s="47" t="s">
        <v>176</v>
      </c>
      <c r="D33" s="48">
        <v>5914612</v>
      </c>
      <c r="E33" s="49" t="s">
        <v>209</v>
      </c>
      <c r="F33" s="48" t="s">
        <v>166</v>
      </c>
      <c r="G33" s="46">
        <f>G32*2.4*50</f>
        <v>4734</v>
      </c>
      <c r="H33" s="192" t="s">
        <v>270</v>
      </c>
      <c r="I33" s="193"/>
      <c r="J33" s="194"/>
      <c r="K33" s="1"/>
      <c r="L33" s="1"/>
      <c r="M33" s="92"/>
    </row>
    <row r="34" spans="2:13" ht="36" customHeight="1" x14ac:dyDescent="0.25">
      <c r="B34" s="47" t="s">
        <v>251</v>
      </c>
      <c r="C34" s="47" t="s">
        <v>165</v>
      </c>
      <c r="D34" s="48">
        <v>94288</v>
      </c>
      <c r="E34" s="49" t="s">
        <v>240</v>
      </c>
      <c r="F34" s="48" t="s">
        <v>23</v>
      </c>
      <c r="G34" s="46">
        <f>33.25+115.51+17.33+11.17+32.48+32.43+9.6+15.61+5.12+4.28+51.71+56.32+29.06</f>
        <v>413.86999999999989</v>
      </c>
      <c r="H34" s="192" t="s">
        <v>271</v>
      </c>
      <c r="I34" s="193"/>
      <c r="J34" s="194"/>
      <c r="K34" s="1"/>
      <c r="L34" s="1"/>
      <c r="M34" s="92"/>
    </row>
    <row r="35" spans="2:13" ht="24.95" customHeight="1" x14ac:dyDescent="0.25">
      <c r="B35" s="51">
        <v>5</v>
      </c>
      <c r="C35" s="51"/>
      <c r="D35" s="52"/>
      <c r="E35" s="53" t="s">
        <v>225</v>
      </c>
      <c r="F35" s="53"/>
      <c r="G35" s="54"/>
      <c r="H35" s="195"/>
      <c r="I35" s="196"/>
      <c r="J35" s="197"/>
      <c r="K35" s="1"/>
      <c r="L35" s="1"/>
      <c r="M35" s="92"/>
    </row>
    <row r="36" spans="2:13" ht="30" customHeight="1" x14ac:dyDescent="0.25">
      <c r="B36" s="47" t="s">
        <v>210</v>
      </c>
      <c r="C36" s="47" t="s">
        <v>165</v>
      </c>
      <c r="D36" s="48">
        <v>99814</v>
      </c>
      <c r="E36" s="49" t="s">
        <v>203</v>
      </c>
      <c r="F36" s="48" t="s">
        <v>21</v>
      </c>
      <c r="G36" s="46">
        <v>291</v>
      </c>
      <c r="H36" s="192" t="s">
        <v>272</v>
      </c>
      <c r="I36" s="193"/>
      <c r="J36" s="194"/>
      <c r="K36" s="1"/>
      <c r="L36" s="1"/>
      <c r="M36" s="92"/>
    </row>
    <row r="37" spans="2:13" ht="30" customHeight="1" x14ac:dyDescent="0.25">
      <c r="B37" s="47" t="s">
        <v>211</v>
      </c>
      <c r="C37" s="47" t="s">
        <v>229</v>
      </c>
      <c r="D37" s="142" t="s">
        <v>230</v>
      </c>
      <c r="E37" s="49" t="s">
        <v>231</v>
      </c>
      <c r="F37" s="48" t="s">
        <v>21</v>
      </c>
      <c r="G37" s="46">
        <f>G36</f>
        <v>291</v>
      </c>
      <c r="H37" s="192" t="s">
        <v>272</v>
      </c>
      <c r="I37" s="193"/>
      <c r="J37" s="194"/>
      <c r="K37" s="1"/>
      <c r="L37" s="1"/>
      <c r="M37" s="92"/>
    </row>
    <row r="38" spans="2:13" ht="34.5" customHeight="1" x14ac:dyDescent="0.25">
      <c r="B38" s="47" t="s">
        <v>212</v>
      </c>
      <c r="C38" s="47" t="s">
        <v>165</v>
      </c>
      <c r="D38" s="48">
        <v>102330</v>
      </c>
      <c r="E38" s="49" t="s">
        <v>204</v>
      </c>
      <c r="F38" s="48" t="s">
        <v>166</v>
      </c>
      <c r="G38" s="46">
        <f>(G37*0.005)*30</f>
        <v>43.650000000000006</v>
      </c>
      <c r="H38" s="192" t="s">
        <v>273</v>
      </c>
      <c r="I38" s="193"/>
      <c r="J38" s="194"/>
      <c r="K38" s="1"/>
      <c r="L38" s="1"/>
      <c r="M38" s="92"/>
    </row>
    <row r="39" spans="2:13" ht="47.25" customHeight="1" x14ac:dyDescent="0.25">
      <c r="B39" s="47" t="s">
        <v>213</v>
      </c>
      <c r="C39" s="47" t="s">
        <v>165</v>
      </c>
      <c r="D39" s="48">
        <v>102331</v>
      </c>
      <c r="E39" s="49" t="s">
        <v>205</v>
      </c>
      <c r="F39" s="48" t="s">
        <v>166</v>
      </c>
      <c r="G39" s="46">
        <f>(G37*0.005)*20</f>
        <v>29.1</v>
      </c>
      <c r="H39" s="192" t="s">
        <v>274</v>
      </c>
      <c r="I39" s="193"/>
      <c r="J39" s="194"/>
      <c r="K39" s="1"/>
      <c r="L39" s="1"/>
      <c r="M39" s="92"/>
    </row>
    <row r="40" spans="2:13" ht="39.75" customHeight="1" x14ac:dyDescent="0.25">
      <c r="B40" s="47" t="s">
        <v>214</v>
      </c>
      <c r="C40" s="47" t="s">
        <v>165</v>
      </c>
      <c r="D40" s="48">
        <v>95996</v>
      </c>
      <c r="E40" s="49" t="s">
        <v>206</v>
      </c>
      <c r="F40" s="48" t="s">
        <v>22</v>
      </c>
      <c r="G40" s="46">
        <f>G36*0.02</f>
        <v>5.82</v>
      </c>
      <c r="H40" s="192" t="s">
        <v>275</v>
      </c>
      <c r="I40" s="193"/>
      <c r="J40" s="194"/>
      <c r="K40" s="1"/>
      <c r="L40" s="1"/>
      <c r="M40" s="92"/>
    </row>
    <row r="41" spans="2:13" ht="37.5" customHeight="1" x14ac:dyDescent="0.25">
      <c r="B41" s="47" t="s">
        <v>215</v>
      </c>
      <c r="C41" s="47" t="s">
        <v>165</v>
      </c>
      <c r="D41" s="48">
        <v>95995</v>
      </c>
      <c r="E41" s="49" t="s">
        <v>207</v>
      </c>
      <c r="F41" s="48" t="s">
        <v>22</v>
      </c>
      <c r="G41" s="46">
        <f>G36*0.03</f>
        <v>8.73</v>
      </c>
      <c r="H41" s="192" t="s">
        <v>276</v>
      </c>
      <c r="I41" s="193"/>
      <c r="J41" s="194"/>
      <c r="K41" s="1"/>
      <c r="L41" s="1"/>
      <c r="M41" s="92"/>
    </row>
    <row r="42" spans="2:13" ht="30" customHeight="1" x14ac:dyDescent="0.25">
      <c r="B42" s="47" t="s">
        <v>216</v>
      </c>
      <c r="C42" s="47" t="s">
        <v>201</v>
      </c>
      <c r="D42" s="48" t="s">
        <v>167</v>
      </c>
      <c r="E42" s="49" t="s">
        <v>168</v>
      </c>
      <c r="F42" s="48" t="s">
        <v>22</v>
      </c>
      <c r="G42" s="46">
        <f>(G40+G41)</f>
        <v>14.55</v>
      </c>
      <c r="H42" s="192" t="s">
        <v>277</v>
      </c>
      <c r="I42" s="193"/>
      <c r="J42" s="194"/>
      <c r="K42" s="1"/>
      <c r="L42" s="1"/>
      <c r="M42" s="92"/>
    </row>
    <row r="43" spans="2:13" ht="36" customHeight="1" x14ac:dyDescent="0.25">
      <c r="B43" s="47" t="s">
        <v>217</v>
      </c>
      <c r="C43" s="47" t="s">
        <v>176</v>
      </c>
      <c r="D43" s="48">
        <v>5914612</v>
      </c>
      <c r="E43" s="49" t="s">
        <v>209</v>
      </c>
      <c r="F43" s="48" t="s">
        <v>166</v>
      </c>
      <c r="G43" s="46">
        <f>G42*2.4*50</f>
        <v>1746</v>
      </c>
      <c r="H43" s="192" t="s">
        <v>278</v>
      </c>
      <c r="I43" s="193"/>
      <c r="J43" s="194"/>
      <c r="K43" s="1"/>
      <c r="L43" s="1"/>
      <c r="M43" s="92"/>
    </row>
    <row r="44" spans="2:13" ht="36" customHeight="1" x14ac:dyDescent="0.25">
      <c r="B44" s="47" t="s">
        <v>223</v>
      </c>
      <c r="C44" s="47" t="s">
        <v>165</v>
      </c>
      <c r="D44" s="48">
        <v>94288</v>
      </c>
      <c r="E44" s="49" t="s">
        <v>240</v>
      </c>
      <c r="F44" s="48" t="s">
        <v>23</v>
      </c>
      <c r="G44" s="46">
        <f>8.2+63.29+62.09+7.22</f>
        <v>140.79999999999998</v>
      </c>
      <c r="H44" s="192" t="s">
        <v>279</v>
      </c>
      <c r="I44" s="193"/>
      <c r="J44" s="194"/>
      <c r="K44" s="1"/>
      <c r="L44" s="1"/>
      <c r="M44" s="92"/>
    </row>
    <row r="45" spans="2:13" ht="24.95" customHeight="1" x14ac:dyDescent="0.25">
      <c r="B45" s="51">
        <v>6</v>
      </c>
      <c r="C45" s="51"/>
      <c r="D45" s="52"/>
      <c r="E45" s="53" t="s">
        <v>253</v>
      </c>
      <c r="F45" s="53"/>
      <c r="G45" s="54"/>
      <c r="H45" s="195"/>
      <c r="I45" s="196"/>
      <c r="J45" s="197"/>
      <c r="K45" s="1"/>
      <c r="L45" s="1"/>
      <c r="M45" s="92"/>
    </row>
    <row r="46" spans="2:13" ht="30" customHeight="1" x14ac:dyDescent="0.25">
      <c r="B46" s="47" t="s">
        <v>218</v>
      </c>
      <c r="C46" s="47" t="s">
        <v>165</v>
      </c>
      <c r="D46" s="48">
        <v>99814</v>
      </c>
      <c r="E46" s="49" t="s">
        <v>203</v>
      </c>
      <c r="F46" s="48" t="s">
        <v>21</v>
      </c>
      <c r="G46" s="46">
        <v>188</v>
      </c>
      <c r="H46" s="192" t="s">
        <v>280</v>
      </c>
      <c r="I46" s="193"/>
      <c r="J46" s="194"/>
      <c r="K46" s="1"/>
      <c r="L46" s="1"/>
      <c r="M46" s="92"/>
    </row>
    <row r="47" spans="2:13" ht="30" customHeight="1" x14ac:dyDescent="0.25">
      <c r="B47" s="47" t="s">
        <v>219</v>
      </c>
      <c r="C47" s="47" t="s">
        <v>229</v>
      </c>
      <c r="D47" s="142" t="s">
        <v>230</v>
      </c>
      <c r="E47" s="49" t="s">
        <v>231</v>
      </c>
      <c r="F47" s="48" t="s">
        <v>21</v>
      </c>
      <c r="G47" s="46">
        <f>G46</f>
        <v>188</v>
      </c>
      <c r="H47" s="192" t="s">
        <v>280</v>
      </c>
      <c r="I47" s="193"/>
      <c r="J47" s="194"/>
      <c r="K47" s="1"/>
      <c r="L47" s="1"/>
      <c r="M47" s="92"/>
    </row>
    <row r="48" spans="2:13" ht="34.5" customHeight="1" x14ac:dyDescent="0.25">
      <c r="B48" s="47" t="s">
        <v>220</v>
      </c>
      <c r="C48" s="47" t="s">
        <v>165</v>
      </c>
      <c r="D48" s="48">
        <v>102330</v>
      </c>
      <c r="E48" s="49" t="s">
        <v>204</v>
      </c>
      <c r="F48" s="48" t="s">
        <v>166</v>
      </c>
      <c r="G48" s="46">
        <f>(G47*0.005)*30</f>
        <v>28.200000000000003</v>
      </c>
      <c r="H48" s="192" t="s">
        <v>281</v>
      </c>
      <c r="I48" s="193"/>
      <c r="J48" s="194"/>
      <c r="K48" s="1"/>
      <c r="L48" s="1"/>
      <c r="M48" s="92"/>
    </row>
    <row r="49" spans="2:13" ht="47.25" customHeight="1" x14ac:dyDescent="0.25">
      <c r="B49" s="47" t="s">
        <v>221</v>
      </c>
      <c r="C49" s="47" t="s">
        <v>165</v>
      </c>
      <c r="D49" s="48">
        <v>102331</v>
      </c>
      <c r="E49" s="49" t="s">
        <v>205</v>
      </c>
      <c r="F49" s="48" t="s">
        <v>166</v>
      </c>
      <c r="G49" s="46">
        <f>(G47*0.005)*20</f>
        <v>18.8</v>
      </c>
      <c r="H49" s="192" t="s">
        <v>282</v>
      </c>
      <c r="I49" s="193"/>
      <c r="J49" s="194"/>
      <c r="K49" s="1"/>
      <c r="L49" s="1"/>
      <c r="M49" s="92"/>
    </row>
    <row r="50" spans="2:13" ht="39.75" customHeight="1" x14ac:dyDescent="0.25">
      <c r="B50" s="47" t="s">
        <v>241</v>
      </c>
      <c r="C50" s="47" t="s">
        <v>165</v>
      </c>
      <c r="D50" s="48">
        <v>95996</v>
      </c>
      <c r="E50" s="49" t="s">
        <v>206</v>
      </c>
      <c r="F50" s="48" t="s">
        <v>22</v>
      </c>
      <c r="G50" s="46">
        <f>G46*0.02</f>
        <v>3.7600000000000002</v>
      </c>
      <c r="H50" s="192" t="s">
        <v>283</v>
      </c>
      <c r="I50" s="193"/>
      <c r="J50" s="194"/>
      <c r="K50" s="1"/>
      <c r="L50" s="1"/>
      <c r="M50" s="92"/>
    </row>
    <row r="51" spans="2:13" ht="37.5" customHeight="1" x14ac:dyDescent="0.25">
      <c r="B51" s="47" t="s">
        <v>242</v>
      </c>
      <c r="C51" s="47" t="s">
        <v>165</v>
      </c>
      <c r="D51" s="48">
        <v>95995</v>
      </c>
      <c r="E51" s="49" t="s">
        <v>207</v>
      </c>
      <c r="F51" s="48" t="s">
        <v>22</v>
      </c>
      <c r="G51" s="46">
        <f>G46*0.03</f>
        <v>5.64</v>
      </c>
      <c r="H51" s="192" t="s">
        <v>284</v>
      </c>
      <c r="I51" s="193"/>
      <c r="J51" s="194"/>
      <c r="K51" s="1"/>
      <c r="L51" s="1"/>
      <c r="M51" s="92"/>
    </row>
    <row r="52" spans="2:13" ht="30" customHeight="1" x14ac:dyDescent="0.25">
      <c r="B52" s="47" t="s">
        <v>243</v>
      </c>
      <c r="C52" s="47" t="s">
        <v>201</v>
      </c>
      <c r="D52" s="48" t="s">
        <v>167</v>
      </c>
      <c r="E52" s="49" t="s">
        <v>168</v>
      </c>
      <c r="F52" s="48" t="s">
        <v>22</v>
      </c>
      <c r="G52" s="46">
        <f>(G50+G51)</f>
        <v>9.4</v>
      </c>
      <c r="H52" s="192" t="s">
        <v>285</v>
      </c>
      <c r="I52" s="193"/>
      <c r="J52" s="194"/>
      <c r="K52" s="1"/>
      <c r="L52" s="1"/>
      <c r="M52" s="92"/>
    </row>
    <row r="53" spans="2:13" ht="36" customHeight="1" x14ac:dyDescent="0.25">
      <c r="B53" s="47" t="s">
        <v>244</v>
      </c>
      <c r="C53" s="47" t="s">
        <v>176</v>
      </c>
      <c r="D53" s="48">
        <v>5914612</v>
      </c>
      <c r="E53" s="49" t="s">
        <v>209</v>
      </c>
      <c r="F53" s="48" t="s">
        <v>166</v>
      </c>
      <c r="G53" s="46">
        <f>G52*2.4*50</f>
        <v>1128</v>
      </c>
      <c r="H53" s="192" t="s">
        <v>286</v>
      </c>
      <c r="I53" s="193"/>
      <c r="J53" s="194"/>
      <c r="K53" s="1"/>
      <c r="L53" s="1"/>
      <c r="M53" s="92"/>
    </row>
    <row r="54" spans="2:13" ht="36" customHeight="1" x14ac:dyDescent="0.25">
      <c r="B54" s="47" t="s">
        <v>245</v>
      </c>
      <c r="C54" s="47" t="s">
        <v>165</v>
      </c>
      <c r="D54" s="48">
        <v>94288</v>
      </c>
      <c r="E54" s="49" t="s">
        <v>240</v>
      </c>
      <c r="F54" s="48" t="s">
        <v>23</v>
      </c>
      <c r="G54" s="46">
        <f>51.71*2</f>
        <v>103.42</v>
      </c>
      <c r="H54" s="192" t="s">
        <v>287</v>
      </c>
      <c r="I54" s="193"/>
      <c r="J54" s="194"/>
      <c r="K54" s="1"/>
      <c r="L54" s="1"/>
      <c r="M54" s="92"/>
    </row>
    <row r="55" spans="2:13" ht="24.95" customHeight="1" x14ac:dyDescent="0.25">
      <c r="B55" s="51">
        <v>7</v>
      </c>
      <c r="C55" s="51"/>
      <c r="D55" s="52"/>
      <c r="E55" s="53" t="s">
        <v>289</v>
      </c>
      <c r="F55" s="53"/>
      <c r="G55" s="54"/>
      <c r="H55" s="195"/>
      <c r="I55" s="196"/>
      <c r="J55" s="197"/>
      <c r="K55" s="1"/>
      <c r="L55" s="1"/>
      <c r="M55" s="92"/>
    </row>
    <row r="56" spans="2:13" ht="30" customHeight="1" x14ac:dyDescent="0.25">
      <c r="B56" s="47" t="s">
        <v>292</v>
      </c>
      <c r="C56" s="47" t="s">
        <v>165</v>
      </c>
      <c r="D56" s="48">
        <v>99814</v>
      </c>
      <c r="E56" s="49" t="s">
        <v>203</v>
      </c>
      <c r="F56" s="48" t="s">
        <v>21</v>
      </c>
      <c r="G56" s="46">
        <v>50</v>
      </c>
      <c r="H56" s="192" t="s">
        <v>303</v>
      </c>
      <c r="I56" s="193"/>
      <c r="J56" s="194"/>
      <c r="K56" s="1"/>
      <c r="L56" s="1"/>
      <c r="M56" s="92"/>
    </row>
    <row r="57" spans="2:13" ht="30" customHeight="1" x14ac:dyDescent="0.25">
      <c r="B57" s="47" t="s">
        <v>293</v>
      </c>
      <c r="C57" s="47" t="s">
        <v>229</v>
      </c>
      <c r="D57" s="142" t="s">
        <v>230</v>
      </c>
      <c r="E57" s="49" t="s">
        <v>231</v>
      </c>
      <c r="F57" s="48" t="s">
        <v>21</v>
      </c>
      <c r="G57" s="46">
        <f>G56</f>
        <v>50</v>
      </c>
      <c r="H57" s="192" t="s">
        <v>303</v>
      </c>
      <c r="I57" s="193"/>
      <c r="J57" s="194"/>
      <c r="K57" s="1"/>
      <c r="L57" s="1"/>
      <c r="M57" s="92"/>
    </row>
    <row r="58" spans="2:13" ht="34.5" customHeight="1" x14ac:dyDescent="0.25">
      <c r="B58" s="47" t="s">
        <v>294</v>
      </c>
      <c r="C58" s="47" t="s">
        <v>165</v>
      </c>
      <c r="D58" s="48">
        <v>102330</v>
      </c>
      <c r="E58" s="49" t="s">
        <v>204</v>
      </c>
      <c r="F58" s="48" t="s">
        <v>166</v>
      </c>
      <c r="G58" s="46">
        <f>(G57*0.005)*30</f>
        <v>7.5</v>
      </c>
      <c r="H58" s="192" t="s">
        <v>304</v>
      </c>
      <c r="I58" s="193"/>
      <c r="J58" s="194"/>
      <c r="K58" s="1"/>
      <c r="L58" s="1"/>
      <c r="M58" s="92"/>
    </row>
    <row r="59" spans="2:13" ht="47.25" customHeight="1" x14ac:dyDescent="0.25">
      <c r="B59" s="47" t="s">
        <v>295</v>
      </c>
      <c r="C59" s="47" t="s">
        <v>165</v>
      </c>
      <c r="D59" s="48">
        <v>102331</v>
      </c>
      <c r="E59" s="49" t="s">
        <v>205</v>
      </c>
      <c r="F59" s="48" t="s">
        <v>166</v>
      </c>
      <c r="G59" s="46">
        <f>(G57*0.005)*20</f>
        <v>5</v>
      </c>
      <c r="H59" s="192" t="s">
        <v>305</v>
      </c>
      <c r="I59" s="193"/>
      <c r="J59" s="194"/>
      <c r="K59" s="1"/>
      <c r="L59" s="1"/>
      <c r="M59" s="92"/>
    </row>
    <row r="60" spans="2:13" ht="39.75" customHeight="1" x14ac:dyDescent="0.25">
      <c r="B60" s="47" t="s">
        <v>296</v>
      </c>
      <c r="C60" s="47" t="s">
        <v>165</v>
      </c>
      <c r="D60" s="48">
        <v>95996</v>
      </c>
      <c r="E60" s="49" t="s">
        <v>206</v>
      </c>
      <c r="F60" s="48" t="s">
        <v>22</v>
      </c>
      <c r="G60" s="46">
        <f>G56*0.02</f>
        <v>1</v>
      </c>
      <c r="H60" s="192" t="s">
        <v>306</v>
      </c>
      <c r="I60" s="193"/>
      <c r="J60" s="194"/>
      <c r="K60" s="1"/>
      <c r="L60" s="1"/>
      <c r="M60" s="92"/>
    </row>
    <row r="61" spans="2:13" ht="37.5" customHeight="1" x14ac:dyDescent="0.25">
      <c r="B61" s="47" t="s">
        <v>297</v>
      </c>
      <c r="C61" s="47" t="s">
        <v>165</v>
      </c>
      <c r="D61" s="48">
        <v>95995</v>
      </c>
      <c r="E61" s="49" t="s">
        <v>207</v>
      </c>
      <c r="F61" s="48" t="s">
        <v>22</v>
      </c>
      <c r="G61" s="46">
        <f>G56*0.03</f>
        <v>1.5</v>
      </c>
      <c r="H61" s="192" t="s">
        <v>307</v>
      </c>
      <c r="I61" s="193"/>
      <c r="J61" s="194"/>
      <c r="K61" s="1"/>
      <c r="L61" s="1"/>
      <c r="M61" s="92"/>
    </row>
    <row r="62" spans="2:13" ht="30" customHeight="1" x14ac:dyDescent="0.25">
      <c r="B62" s="47" t="s">
        <v>298</v>
      </c>
      <c r="C62" s="47" t="s">
        <v>201</v>
      </c>
      <c r="D62" s="48" t="s">
        <v>167</v>
      </c>
      <c r="E62" s="49" t="s">
        <v>168</v>
      </c>
      <c r="F62" s="48" t="s">
        <v>22</v>
      </c>
      <c r="G62" s="46">
        <f>(G60+G61)</f>
        <v>2.5</v>
      </c>
      <c r="H62" s="192" t="s">
        <v>308</v>
      </c>
      <c r="I62" s="193"/>
      <c r="J62" s="194"/>
      <c r="K62" s="1"/>
      <c r="L62" s="1"/>
      <c r="M62" s="92"/>
    </row>
    <row r="63" spans="2:13" ht="36" customHeight="1" x14ac:dyDescent="0.25">
      <c r="B63" s="47" t="s">
        <v>299</v>
      </c>
      <c r="C63" s="47" t="s">
        <v>176</v>
      </c>
      <c r="D63" s="48">
        <v>5914612</v>
      </c>
      <c r="E63" s="49" t="s">
        <v>209</v>
      </c>
      <c r="F63" s="48" t="s">
        <v>166</v>
      </c>
      <c r="G63" s="46">
        <f>G62*2.4*50</f>
        <v>300</v>
      </c>
      <c r="H63" s="192" t="s">
        <v>309</v>
      </c>
      <c r="I63" s="193"/>
      <c r="J63" s="194"/>
      <c r="K63" s="1"/>
      <c r="L63" s="1"/>
      <c r="M63" s="92"/>
    </row>
    <row r="64" spans="2:13" ht="36" customHeight="1" x14ac:dyDescent="0.25">
      <c r="B64" s="47" t="s">
        <v>300</v>
      </c>
      <c r="C64" s="47" t="s">
        <v>165</v>
      </c>
      <c r="D64" s="48">
        <v>94288</v>
      </c>
      <c r="E64" s="49" t="s">
        <v>240</v>
      </c>
      <c r="F64" s="48" t="s">
        <v>23</v>
      </c>
      <c r="G64" s="46">
        <f>10.63+6.34+5.26+12.29+4.9</f>
        <v>39.419999999999995</v>
      </c>
      <c r="H64" s="192" t="s">
        <v>310</v>
      </c>
      <c r="I64" s="193"/>
      <c r="J64" s="194"/>
      <c r="K64" s="1"/>
      <c r="L64" s="1"/>
      <c r="M64" s="92"/>
    </row>
    <row r="65" spans="2:13" ht="36" customHeight="1" x14ac:dyDescent="0.25">
      <c r="B65" s="47" t="s">
        <v>301</v>
      </c>
      <c r="C65" s="47" t="s">
        <v>165</v>
      </c>
      <c r="D65" s="48">
        <v>94274</v>
      </c>
      <c r="E65" s="49" t="s">
        <v>290</v>
      </c>
      <c r="F65" s="48" t="s">
        <v>23</v>
      </c>
      <c r="G65" s="46">
        <f>10.63+6.34+5.26+12.29+4.9</f>
        <v>39.419999999999995</v>
      </c>
      <c r="H65" s="192" t="s">
        <v>310</v>
      </c>
      <c r="I65" s="193"/>
      <c r="J65" s="194"/>
      <c r="K65" s="1"/>
      <c r="L65" s="1"/>
      <c r="M65" s="92"/>
    </row>
    <row r="66" spans="2:13" ht="24.95" customHeight="1" x14ac:dyDescent="0.25">
      <c r="B66" s="51">
        <v>8</v>
      </c>
      <c r="C66" s="51"/>
      <c r="D66" s="52"/>
      <c r="E66" s="53" t="s">
        <v>312</v>
      </c>
      <c r="F66" s="53"/>
      <c r="G66" s="54"/>
      <c r="H66" s="195"/>
      <c r="I66" s="196"/>
      <c r="J66" s="197"/>
      <c r="K66" s="1"/>
      <c r="L66" s="1"/>
      <c r="M66" s="92"/>
    </row>
    <row r="67" spans="2:13" ht="30" customHeight="1" x14ac:dyDescent="0.25">
      <c r="B67" s="47" t="s">
        <v>313</v>
      </c>
      <c r="C67" s="47" t="s">
        <v>165</v>
      </c>
      <c r="D67" s="48">
        <v>99814</v>
      </c>
      <c r="E67" s="49" t="s">
        <v>203</v>
      </c>
      <c r="F67" s="48" t="s">
        <v>21</v>
      </c>
      <c r="G67" s="46">
        <v>340</v>
      </c>
      <c r="H67" s="192" t="s">
        <v>322</v>
      </c>
      <c r="I67" s="193"/>
      <c r="J67" s="194"/>
      <c r="K67" s="1"/>
      <c r="L67" s="1"/>
      <c r="M67" s="92"/>
    </row>
    <row r="68" spans="2:13" ht="30" customHeight="1" x14ac:dyDescent="0.25">
      <c r="B68" s="47" t="s">
        <v>314</v>
      </c>
      <c r="C68" s="47" t="s">
        <v>229</v>
      </c>
      <c r="D68" s="142" t="s">
        <v>230</v>
      </c>
      <c r="E68" s="49" t="s">
        <v>231</v>
      </c>
      <c r="F68" s="48" t="s">
        <v>21</v>
      </c>
      <c r="G68" s="46">
        <f>G67</f>
        <v>340</v>
      </c>
      <c r="H68" s="192" t="s">
        <v>322</v>
      </c>
      <c r="I68" s="193"/>
      <c r="J68" s="194"/>
      <c r="K68" s="1"/>
      <c r="L68" s="1"/>
      <c r="M68" s="92"/>
    </row>
    <row r="69" spans="2:13" ht="34.5" customHeight="1" x14ac:dyDescent="0.25">
      <c r="B69" s="47" t="s">
        <v>315</v>
      </c>
      <c r="C69" s="47" t="s">
        <v>165</v>
      </c>
      <c r="D69" s="48">
        <v>102330</v>
      </c>
      <c r="E69" s="49" t="s">
        <v>204</v>
      </c>
      <c r="F69" s="48" t="s">
        <v>166</v>
      </c>
      <c r="G69" s="46">
        <f>(G68*0.005)*30</f>
        <v>51</v>
      </c>
      <c r="H69" s="192" t="s">
        <v>323</v>
      </c>
      <c r="I69" s="193"/>
      <c r="J69" s="194"/>
      <c r="K69" s="1"/>
      <c r="L69" s="1"/>
      <c r="M69" s="92"/>
    </row>
    <row r="70" spans="2:13" ht="47.25" customHeight="1" x14ac:dyDescent="0.25">
      <c r="B70" s="47" t="s">
        <v>316</v>
      </c>
      <c r="C70" s="47" t="s">
        <v>165</v>
      </c>
      <c r="D70" s="48">
        <v>102331</v>
      </c>
      <c r="E70" s="49" t="s">
        <v>205</v>
      </c>
      <c r="F70" s="48" t="s">
        <v>166</v>
      </c>
      <c r="G70" s="46">
        <f>(G68*0.005)*20</f>
        <v>34</v>
      </c>
      <c r="H70" s="192" t="s">
        <v>324</v>
      </c>
      <c r="I70" s="193"/>
      <c r="J70" s="194"/>
      <c r="K70" s="1"/>
      <c r="L70" s="1"/>
      <c r="M70" s="92"/>
    </row>
    <row r="71" spans="2:13" ht="37.5" customHeight="1" x14ac:dyDescent="0.25">
      <c r="B71" s="47" t="s">
        <v>317</v>
      </c>
      <c r="C71" s="47" t="s">
        <v>165</v>
      </c>
      <c r="D71" s="48">
        <v>95996</v>
      </c>
      <c r="E71" s="49" t="s">
        <v>206</v>
      </c>
      <c r="F71" s="48" t="s">
        <v>22</v>
      </c>
      <c r="G71" s="46">
        <f>G67*0.02</f>
        <v>6.8</v>
      </c>
      <c r="H71" s="192" t="s">
        <v>325</v>
      </c>
      <c r="I71" s="193"/>
      <c r="J71" s="194"/>
      <c r="K71" s="1"/>
      <c r="L71" s="1"/>
      <c r="M71" s="92"/>
    </row>
    <row r="72" spans="2:13" ht="37.5" customHeight="1" x14ac:dyDescent="0.25">
      <c r="B72" s="47" t="s">
        <v>318</v>
      </c>
      <c r="C72" s="47" t="s">
        <v>165</v>
      </c>
      <c r="D72" s="48">
        <v>95995</v>
      </c>
      <c r="E72" s="49" t="s">
        <v>207</v>
      </c>
      <c r="F72" s="48" t="s">
        <v>22</v>
      </c>
      <c r="G72" s="46">
        <f>G67*0.03</f>
        <v>10.199999999999999</v>
      </c>
      <c r="H72" s="192" t="s">
        <v>326</v>
      </c>
      <c r="I72" s="193"/>
      <c r="J72" s="194"/>
      <c r="K72" s="1"/>
      <c r="L72" s="1"/>
      <c r="M72" s="92"/>
    </row>
    <row r="73" spans="2:13" ht="30" customHeight="1" x14ac:dyDescent="0.25">
      <c r="B73" s="47" t="s">
        <v>319</v>
      </c>
      <c r="C73" s="47" t="s">
        <v>201</v>
      </c>
      <c r="D73" s="48" t="s">
        <v>167</v>
      </c>
      <c r="E73" s="49" t="s">
        <v>168</v>
      </c>
      <c r="F73" s="48" t="s">
        <v>22</v>
      </c>
      <c r="G73" s="46">
        <f>(G71+G72)</f>
        <v>17</v>
      </c>
      <c r="H73" s="192" t="s">
        <v>327</v>
      </c>
      <c r="I73" s="193"/>
      <c r="J73" s="194"/>
      <c r="K73" s="1"/>
      <c r="L73" s="1"/>
      <c r="M73" s="92"/>
    </row>
    <row r="74" spans="2:13" ht="36" customHeight="1" x14ac:dyDescent="0.25">
      <c r="B74" s="47" t="s">
        <v>320</v>
      </c>
      <c r="C74" s="47" t="s">
        <v>176</v>
      </c>
      <c r="D74" s="48">
        <v>5914612</v>
      </c>
      <c r="E74" s="49" t="s">
        <v>209</v>
      </c>
      <c r="F74" s="48" t="s">
        <v>166</v>
      </c>
      <c r="G74" s="46">
        <f>G73*2.4*50</f>
        <v>2039.9999999999998</v>
      </c>
      <c r="H74" s="192" t="s">
        <v>328</v>
      </c>
      <c r="I74" s="193"/>
      <c r="J74" s="194"/>
      <c r="K74" s="1"/>
      <c r="L74" s="1"/>
      <c r="M74" s="92"/>
    </row>
    <row r="75" spans="2:13" ht="36" customHeight="1" x14ac:dyDescent="0.25">
      <c r="B75" s="47" t="s">
        <v>321</v>
      </c>
      <c r="C75" s="47" t="s">
        <v>165</v>
      </c>
      <c r="D75" s="48">
        <v>94288</v>
      </c>
      <c r="E75" s="49" t="s">
        <v>240</v>
      </c>
      <c r="F75" s="48" t="s">
        <v>23</v>
      </c>
      <c r="G75" s="46">
        <f>85*2</f>
        <v>170</v>
      </c>
      <c r="H75" s="192" t="s">
        <v>329</v>
      </c>
      <c r="I75" s="193"/>
      <c r="J75" s="194"/>
      <c r="K75" s="1"/>
      <c r="L75" s="1"/>
      <c r="M75" s="92"/>
    </row>
    <row r="76" spans="2:13" ht="3.75" customHeight="1" x14ac:dyDescent="0.25">
      <c r="B76" s="157"/>
      <c r="C76" s="157"/>
      <c r="D76" s="157"/>
      <c r="E76" s="157"/>
      <c r="F76" s="157"/>
      <c r="G76" s="157"/>
      <c r="H76" s="157"/>
      <c r="I76" s="157"/>
      <c r="J76" s="158"/>
      <c r="K76" s="1"/>
      <c r="L76" s="1"/>
    </row>
    <row r="77" spans="2:13" ht="75" customHeight="1" x14ac:dyDescent="0.25">
      <c r="B77" s="6" t="s">
        <v>208</v>
      </c>
      <c r="C77" s="6"/>
      <c r="D77" s="7"/>
      <c r="E77" s="6"/>
      <c r="F77" s="7"/>
      <c r="G77" s="21"/>
      <c r="H77" s="7"/>
      <c r="I77" s="6"/>
      <c r="J77" s="7"/>
    </row>
    <row r="78" spans="2:13" x14ac:dyDescent="0.25">
      <c r="B78" s="7" t="str">
        <f t="array" ref="B78">PROPER(IF(B4=VLOOKUP('MEM CALCULO'!B4:B4,DADOS!B:F,1,0),B4,0))</f>
        <v>Prefeitura Municipal De Santos Dumont</v>
      </c>
      <c r="C78" s="7"/>
      <c r="G78" s="159" t="s">
        <v>25</v>
      </c>
      <c r="H78" s="159"/>
      <c r="I78" s="159"/>
      <c r="J78" s="159"/>
    </row>
    <row r="79" spans="2:13" x14ac:dyDescent="0.25">
      <c r="B79" s="141" t="str">
        <f t="array" ref="B79">PROPER(IF(B4=VLOOKUP('MEM CALCULO'!B4:B4,DADOS!B:D,1,0),VLOOKUP('MEM CALCULO'!B4:B4,DADOS!B:D,3,0),0))</f>
        <v>Pacífico Estites Rodrigues Júnior</v>
      </c>
      <c r="C79" s="4"/>
      <c r="G79" s="160" t="s">
        <v>182</v>
      </c>
      <c r="H79" s="160"/>
      <c r="I79" s="160"/>
      <c r="J79" s="160"/>
    </row>
    <row r="80" spans="2:13" x14ac:dyDescent="0.25">
      <c r="B80" s="141" t="str">
        <f t="array" ref="B80">PROPER(IF(B4=VLOOKUP('MEM CALCULO'!B4:B4,DADOS!B:D,1,0),VLOOKUP('MEM CALCULO'!B4:B4,DADOS!B:D,2,0),0))</f>
        <v>Prefeito Municipal De Santos Dumont</v>
      </c>
      <c r="C80" s="4"/>
      <c r="G80" s="160" t="str">
        <f>IF(G79=DADOS!AS7,"Engenheira Civil","Engenheiro Civil")</f>
        <v>Engenheiro Civil</v>
      </c>
      <c r="H80" s="160"/>
      <c r="I80" s="160"/>
      <c r="J80" s="160"/>
    </row>
    <row r="81" spans="2:10" x14ac:dyDescent="0.25">
      <c r="B81" s="4"/>
      <c r="C81" s="4"/>
      <c r="D81" s="1"/>
      <c r="E81" s="1"/>
      <c r="G81" s="160" t="str" cm="1">
        <f t="array" ref="G81">IF(G79=VLOOKUP('MEM CALCULO'!G79:G79,DADOS!AS:AT,1,0),VLOOKUP('MEM CALCULO'!G79:G79,DADOS!AS:AT,2,0),0)</f>
        <v>CREA-MG 351.037/D</v>
      </c>
      <c r="H81" s="160"/>
      <c r="I81" s="160"/>
      <c r="J81" s="160"/>
    </row>
  </sheetData>
  <sheetProtection selectLockedCells="1" selectUnlockedCells="1"/>
  <mergeCells count="86">
    <mergeCell ref="H60:J60"/>
    <mergeCell ref="H61:J61"/>
    <mergeCell ref="H62:J62"/>
    <mergeCell ref="H63:J63"/>
    <mergeCell ref="H65:J65"/>
    <mergeCell ref="H64:J64"/>
    <mergeCell ref="H55:J55"/>
    <mergeCell ref="H56:J56"/>
    <mergeCell ref="H57:J57"/>
    <mergeCell ref="H58:J58"/>
    <mergeCell ref="H59:J59"/>
    <mergeCell ref="H43:J43"/>
    <mergeCell ref="H52:J52"/>
    <mergeCell ref="H53:J53"/>
    <mergeCell ref="H54:J54"/>
    <mergeCell ref="H46:J46"/>
    <mergeCell ref="H47:J47"/>
    <mergeCell ref="H48:J48"/>
    <mergeCell ref="H49:J49"/>
    <mergeCell ref="H50:J50"/>
    <mergeCell ref="H51:J51"/>
    <mergeCell ref="H38:J38"/>
    <mergeCell ref="H39:J39"/>
    <mergeCell ref="H40:J40"/>
    <mergeCell ref="H41:J41"/>
    <mergeCell ref="H42:J42"/>
    <mergeCell ref="H32:J32"/>
    <mergeCell ref="H33:J33"/>
    <mergeCell ref="H34:J34"/>
    <mergeCell ref="H36:J36"/>
    <mergeCell ref="H37:J37"/>
    <mergeCell ref="G80:J80"/>
    <mergeCell ref="G81:J81"/>
    <mergeCell ref="H10:J10"/>
    <mergeCell ref="H11:J11"/>
    <mergeCell ref="H13:J13"/>
    <mergeCell ref="H15:J15"/>
    <mergeCell ref="H25:J25"/>
    <mergeCell ref="H35:J35"/>
    <mergeCell ref="H45:J45"/>
    <mergeCell ref="H12:J12"/>
    <mergeCell ref="H31:J31"/>
    <mergeCell ref="H19:J19"/>
    <mergeCell ref="H20:J20"/>
    <mergeCell ref="H21:J21"/>
    <mergeCell ref="H22:J22"/>
    <mergeCell ref="H23:J23"/>
    <mergeCell ref="F8:H8"/>
    <mergeCell ref="I8:J8"/>
    <mergeCell ref="B76:J76"/>
    <mergeCell ref="G78:J78"/>
    <mergeCell ref="G79:J79"/>
    <mergeCell ref="H14:J14"/>
    <mergeCell ref="H16:J16"/>
    <mergeCell ref="H17:J17"/>
    <mergeCell ref="H18:J18"/>
    <mergeCell ref="H24:J24"/>
    <mergeCell ref="H26:J26"/>
    <mergeCell ref="H27:J27"/>
    <mergeCell ref="H28:J28"/>
    <mergeCell ref="H29:J29"/>
    <mergeCell ref="H30:J30"/>
    <mergeCell ref="H44:J44"/>
    <mergeCell ref="F5:H5"/>
    <mergeCell ref="I5:J5"/>
    <mergeCell ref="F6:H6"/>
    <mergeCell ref="I6:J6"/>
    <mergeCell ref="F7:H7"/>
    <mergeCell ref="I7:J7"/>
    <mergeCell ref="B1:J1"/>
    <mergeCell ref="B2:J2"/>
    <mergeCell ref="F3:H3"/>
    <mergeCell ref="I3:J3"/>
    <mergeCell ref="B4:E4"/>
    <mergeCell ref="F4:H4"/>
    <mergeCell ref="I4:J4"/>
    <mergeCell ref="H72:J72"/>
    <mergeCell ref="H73:J73"/>
    <mergeCell ref="H74:J74"/>
    <mergeCell ref="H75:J75"/>
    <mergeCell ref="H66:J66"/>
    <mergeCell ref="H67:J67"/>
    <mergeCell ref="H68:J68"/>
    <mergeCell ref="H69:J69"/>
    <mergeCell ref="H70:J70"/>
    <mergeCell ref="H71:J71"/>
  </mergeCells>
  <phoneticPr fontId="44" type="noConversion"/>
  <pageMargins left="0.47244094488188981" right="0.35433070866141736" top="0.43307086614173229" bottom="0.35433070866141736" header="0.43307086614173229" footer="0.35433070866141736"/>
  <pageSetup paperSize="9" scale="77" firstPageNumber="0" fitToHeight="0" orientation="landscape" horizontalDpi="360" verticalDpi="36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74856994-B929-4B6C-ABC5-3B43674A85E8}">
          <x14:formula1>
            <xm:f>DADOS!$AS$3:$AS$7</xm:f>
          </x14:formula1>
          <xm:sqref>G79</xm:sqref>
        </x14:dataValidation>
        <x14:dataValidation type="list" allowBlank="1" showInputMessage="1" showErrorMessage="1" xr:uid="{154C2466-9D4F-4231-9BDD-5A1C0010B28C}">
          <x14:formula1>
            <xm:f>DADOS!$B$2:$B$20</xm:f>
          </x14:formula1>
          <xm:sqref>B4:E4</xm:sqref>
        </x14:dataValidation>
        <x14:dataValidation type="list" allowBlank="1" showInputMessage="1" showErrorMessage="1" xr:uid="{2BD17CA3-9691-46A8-BB3C-981ECC3ABDB5}">
          <x14:formula1>
            <xm:f>DADOS!$AM$10:$AM$11</xm:f>
          </x14:formula1>
          <xm:sqref>F8:H8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51"/>
  <sheetViews>
    <sheetView view="pageBreakPreview" zoomScaleNormal="100" zoomScaleSheetLayoutView="100" workbookViewId="0">
      <selection activeCell="I23" sqref="I23"/>
    </sheetView>
  </sheetViews>
  <sheetFormatPr defaultRowHeight="15" x14ac:dyDescent="0.25"/>
  <cols>
    <col min="1" max="1" width="14.42578125" customWidth="1"/>
    <col min="2" max="2" width="39.140625" customWidth="1"/>
    <col min="3" max="3" width="15.42578125" customWidth="1"/>
    <col min="4" max="4" width="14.28515625" customWidth="1"/>
    <col min="5" max="5" width="14.7109375" customWidth="1"/>
    <col min="6" max="6" width="14.5703125" customWidth="1"/>
    <col min="7" max="7" width="14.42578125" customWidth="1"/>
    <col min="8" max="8" width="13.85546875" customWidth="1"/>
    <col min="9" max="9" width="13.5703125" customWidth="1"/>
    <col min="10" max="10" width="13.140625" customWidth="1"/>
    <col min="11" max="11" width="15" customWidth="1"/>
    <col min="12" max="12" width="14.28515625" customWidth="1"/>
    <col min="13" max="13" width="15.7109375" customWidth="1"/>
  </cols>
  <sheetData>
    <row r="1" spans="1:13" ht="120" customHeight="1" thickBot="1" x14ac:dyDescent="0.3">
      <c r="A1" s="206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8"/>
    </row>
    <row r="2" spans="1:13" s="35" customFormat="1" ht="24.95" customHeight="1" thickBot="1" x14ac:dyDescent="0.3">
      <c r="A2" s="202" t="s">
        <v>15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4"/>
    </row>
    <row r="3" spans="1:13" s="35" customFormat="1" ht="20.100000000000001" customHeight="1" x14ac:dyDescent="0.25">
      <c r="A3" s="105" t="s">
        <v>60</v>
      </c>
      <c r="B3" s="106"/>
      <c r="C3" s="106"/>
      <c r="D3" s="106"/>
      <c r="E3" s="60"/>
      <c r="F3" s="60"/>
      <c r="G3" s="60"/>
      <c r="H3" s="107"/>
      <c r="I3" s="174" t="s">
        <v>63</v>
      </c>
      <c r="J3" s="174"/>
      <c r="K3" s="174"/>
      <c r="L3" s="209" t="s">
        <v>57</v>
      </c>
      <c r="M3" s="210"/>
    </row>
    <row r="4" spans="1:13" s="35" customFormat="1" x14ac:dyDescent="0.25">
      <c r="A4" s="179" t="str">
        <f>'P. O.'!B4</f>
        <v>PREFEITURA MUNICIPAL DE SANTOS DUMONT</v>
      </c>
      <c r="B4" s="180"/>
      <c r="C4" s="180"/>
      <c r="D4" s="180"/>
      <c r="E4" s="180"/>
      <c r="F4" s="180"/>
      <c r="G4" s="180"/>
      <c r="H4" s="201"/>
      <c r="I4" s="171" t="str">
        <f>'P. O.'!F4</f>
        <v>SICOR LESTE - JULHO/2025</v>
      </c>
      <c r="J4" s="171"/>
      <c r="K4" s="171"/>
      <c r="L4" s="211">
        <f>'P. O.'!I4</f>
        <v>46049</v>
      </c>
      <c r="M4" s="212"/>
    </row>
    <row r="5" spans="1:13" s="35" customFormat="1" x14ac:dyDescent="0.25">
      <c r="A5" s="62" t="s">
        <v>61</v>
      </c>
      <c r="B5" s="63"/>
      <c r="C5" s="63"/>
      <c r="D5" s="63"/>
      <c r="H5" s="108"/>
      <c r="I5" s="171" t="str">
        <f>'P. O.'!F5</f>
        <v>SINAPI MG - SETEMBRO/2025</v>
      </c>
      <c r="J5" s="171"/>
      <c r="K5" s="171"/>
      <c r="L5" s="213" t="s">
        <v>58</v>
      </c>
      <c r="M5" s="176"/>
    </row>
    <row r="6" spans="1:13" s="66" customFormat="1" x14ac:dyDescent="0.25">
      <c r="A6" s="64" t="str">
        <f>'P. O.'!B6</f>
        <v>RECAPEAMENTO DE VIAS</v>
      </c>
      <c r="B6" s="65"/>
      <c r="C6" s="65"/>
      <c r="D6" s="65"/>
      <c r="H6" s="109"/>
      <c r="I6" s="171" t="str">
        <f>'P. O.'!F6</f>
        <v>SICRO MG - JULHO/2025</v>
      </c>
      <c r="J6" s="171"/>
      <c r="K6" s="171"/>
      <c r="L6" s="214">
        <f>'P. O.'!I6</f>
        <v>0.05</v>
      </c>
      <c r="M6" s="183"/>
    </row>
    <row r="7" spans="1:13" s="35" customFormat="1" x14ac:dyDescent="0.25">
      <c r="A7" s="62" t="s">
        <v>62</v>
      </c>
      <c r="B7" s="63"/>
      <c r="C7" s="63"/>
      <c r="D7" s="63"/>
      <c r="H7" s="108"/>
      <c r="I7" s="174" t="s">
        <v>59</v>
      </c>
      <c r="J7" s="174"/>
      <c r="K7" s="174"/>
      <c r="L7" s="213" t="s">
        <v>56</v>
      </c>
      <c r="M7" s="176"/>
    </row>
    <row r="8" spans="1:13" s="66" customFormat="1" ht="15.75" thickBot="1" x14ac:dyDescent="0.3">
      <c r="A8" s="70" t="str">
        <f>'P. O.'!B8</f>
        <v>DIVERSAS RUAS</v>
      </c>
      <c r="B8" s="71"/>
      <c r="C8" s="71"/>
      <c r="D8" s="71"/>
      <c r="E8" s="110"/>
      <c r="F8" s="110"/>
      <c r="G8" s="110"/>
      <c r="H8" s="111"/>
      <c r="I8" s="187" t="str">
        <f>'P. O.'!F8</f>
        <v>NÃO DESONERADO</v>
      </c>
      <c r="J8" s="187"/>
      <c r="K8" s="187"/>
      <c r="L8" s="215">
        <f>'P. O.'!I8</f>
        <v>0.2341733314864145</v>
      </c>
      <c r="M8" s="185"/>
    </row>
    <row r="9" spans="1:13" ht="9.9499999999999993" customHeight="1" thickBot="1" x14ac:dyDescent="0.3">
      <c r="A9" s="205"/>
      <c r="B9" s="205"/>
      <c r="C9" s="205"/>
      <c r="D9" s="205"/>
      <c r="E9" s="205"/>
    </row>
    <row r="10" spans="1:13" s="5" customFormat="1" ht="41.25" customHeight="1" thickBot="1" x14ac:dyDescent="0.3">
      <c r="A10" s="119" t="s">
        <v>0</v>
      </c>
      <c r="B10" s="119" t="s">
        <v>2</v>
      </c>
      <c r="C10" s="120" t="s">
        <v>16</v>
      </c>
      <c r="D10" s="119">
        <v>1</v>
      </c>
      <c r="E10" s="119">
        <v>2</v>
      </c>
      <c r="F10" s="119">
        <v>3</v>
      </c>
      <c r="G10" s="119">
        <v>4</v>
      </c>
      <c r="H10" s="119">
        <v>5</v>
      </c>
      <c r="I10" s="119">
        <v>6</v>
      </c>
      <c r="J10" s="119">
        <v>7</v>
      </c>
      <c r="K10" s="119">
        <v>8</v>
      </c>
      <c r="L10" s="119">
        <v>9</v>
      </c>
      <c r="M10" s="119">
        <v>10</v>
      </c>
    </row>
    <row r="11" spans="1:13" s="5" customFormat="1" ht="21.95" customHeight="1" x14ac:dyDescent="0.25">
      <c r="A11" s="114"/>
      <c r="B11" s="114"/>
      <c r="C11" s="115"/>
      <c r="D11" s="115"/>
      <c r="E11" s="116"/>
      <c r="F11" s="117"/>
      <c r="G11" s="117"/>
      <c r="H11" s="118"/>
      <c r="I11" s="117"/>
      <c r="J11" s="117"/>
      <c r="K11" s="117"/>
      <c r="L11" s="117"/>
      <c r="M11" s="117"/>
    </row>
    <row r="12" spans="1:13" s="5" customFormat="1" ht="21.95" customHeight="1" x14ac:dyDescent="0.25">
      <c r="A12" s="8">
        <v>1</v>
      </c>
      <c r="B12" s="8" t="str">
        <f>'P. O.'!E11</f>
        <v>SERVIÇOS PRELIMINARES</v>
      </c>
      <c r="C12" s="22">
        <f>C13/$C$37</f>
        <v>4.0582799225430287E-3</v>
      </c>
      <c r="D12" s="22">
        <v>1</v>
      </c>
      <c r="E12" s="22"/>
      <c r="F12" s="22"/>
      <c r="G12" s="22"/>
      <c r="H12" s="22"/>
      <c r="I12" s="22"/>
      <c r="J12" s="22"/>
      <c r="K12" s="22"/>
      <c r="L12" s="22"/>
      <c r="M12" s="22"/>
    </row>
    <row r="13" spans="1:13" s="5" customFormat="1" ht="21.95" customHeight="1" x14ac:dyDescent="0.25">
      <c r="A13" s="8"/>
      <c r="B13" s="8"/>
      <c r="C13" s="30">
        <f>'P. O.'!J11</f>
        <v>1427.38</v>
      </c>
      <c r="D13" s="31">
        <f>D12*$C$13</f>
        <v>1427.38</v>
      </c>
      <c r="E13" s="31"/>
      <c r="F13" s="31"/>
      <c r="G13" s="31"/>
      <c r="H13" s="31"/>
      <c r="I13" s="31"/>
      <c r="J13" s="31"/>
      <c r="K13" s="31"/>
      <c r="L13" s="31"/>
      <c r="M13" s="31"/>
    </row>
    <row r="14" spans="1:13" s="5" customFormat="1" ht="21.95" customHeight="1" x14ac:dyDescent="0.25">
      <c r="A14" s="8"/>
      <c r="B14" s="8"/>
      <c r="C14" s="9"/>
      <c r="D14" s="23"/>
      <c r="E14" s="24"/>
      <c r="F14" s="25"/>
      <c r="G14" s="25"/>
      <c r="H14" s="26"/>
      <c r="I14" s="25"/>
      <c r="J14" s="25"/>
      <c r="K14" s="25"/>
      <c r="L14" s="25"/>
      <c r="M14" s="25"/>
    </row>
    <row r="15" spans="1:13" s="5" customFormat="1" ht="21.95" customHeight="1" x14ac:dyDescent="0.25">
      <c r="A15" s="10" t="s">
        <v>7</v>
      </c>
      <c r="B15" s="8" t="str">
        <f>'P. O.'!E13</f>
        <v>ADMINISTRAÇÃO LOCAL DE OBRA</v>
      </c>
      <c r="C15" s="22">
        <f>C16/$C$37</f>
        <v>5.5288228344079177E-2</v>
      </c>
      <c r="D15" s="22">
        <v>0.5</v>
      </c>
      <c r="E15" s="22">
        <v>0.5</v>
      </c>
      <c r="F15" s="22"/>
      <c r="G15" s="22"/>
      <c r="H15" s="22"/>
      <c r="I15" s="22"/>
      <c r="J15" s="22"/>
      <c r="K15" s="22"/>
      <c r="L15" s="22"/>
      <c r="M15" s="22"/>
    </row>
    <row r="16" spans="1:13" s="5" customFormat="1" ht="21.95" customHeight="1" x14ac:dyDescent="0.25">
      <c r="A16" s="8"/>
      <c r="B16" s="8"/>
      <c r="C16" s="30">
        <f>'P. O.'!J13</f>
        <v>19446</v>
      </c>
      <c r="D16" s="31">
        <f>D15*$C$16</f>
        <v>9723</v>
      </c>
      <c r="E16" s="31">
        <f t="shared" ref="E16" si="0">E15*$C$16</f>
        <v>9723</v>
      </c>
      <c r="F16" s="31"/>
      <c r="G16" s="31"/>
      <c r="H16" s="31"/>
      <c r="I16" s="31"/>
      <c r="J16" s="31"/>
      <c r="K16" s="31"/>
      <c r="L16" s="31"/>
      <c r="M16" s="31"/>
    </row>
    <row r="17" spans="1:13" s="134" customFormat="1" ht="21.95" customHeight="1" x14ac:dyDescent="0.25">
      <c r="A17" s="131"/>
      <c r="B17" s="131"/>
      <c r="C17" s="132"/>
      <c r="D17" s="133"/>
      <c r="E17" s="131"/>
      <c r="F17" s="25"/>
      <c r="G17" s="25"/>
      <c r="H17" s="25"/>
      <c r="I17" s="25"/>
      <c r="J17" s="25"/>
      <c r="K17" s="25"/>
      <c r="L17" s="25"/>
      <c r="M17" s="25"/>
    </row>
    <row r="18" spans="1:13" s="5" customFormat="1" ht="21.95" customHeight="1" x14ac:dyDescent="0.25">
      <c r="A18" s="128" t="s">
        <v>9</v>
      </c>
      <c r="B18" s="129" t="str">
        <f>'P. O.'!E15</f>
        <v>RUA CRISPIM PEREIRA COSTA</v>
      </c>
      <c r="C18" s="130">
        <f>C19/$C$37</f>
        <v>0.20411355677821852</v>
      </c>
      <c r="D18" s="130">
        <v>1</v>
      </c>
      <c r="E18" s="130"/>
      <c r="F18" s="130"/>
      <c r="G18" s="130"/>
      <c r="H18" s="130"/>
      <c r="I18" s="130"/>
      <c r="J18" s="130"/>
      <c r="K18" s="130"/>
      <c r="L18" s="130"/>
      <c r="M18" s="130"/>
    </row>
    <row r="19" spans="1:13" s="5" customFormat="1" ht="21.95" customHeight="1" x14ac:dyDescent="0.25">
      <c r="A19" s="8"/>
      <c r="B19" s="8"/>
      <c r="C19" s="30">
        <f>'P. O.'!J15</f>
        <v>71790.91</v>
      </c>
      <c r="D19" s="31">
        <f>D18*$C$19</f>
        <v>71790.91</v>
      </c>
      <c r="E19" s="31"/>
      <c r="F19" s="31"/>
      <c r="G19" s="31"/>
      <c r="H19" s="31"/>
      <c r="I19" s="31"/>
      <c r="J19" s="31"/>
      <c r="K19" s="31"/>
      <c r="L19" s="31"/>
      <c r="M19" s="31"/>
    </row>
    <row r="20" spans="1:13" s="5" customFormat="1" ht="21.95" customHeight="1" x14ac:dyDescent="0.25">
      <c r="A20" s="8"/>
      <c r="B20" s="12"/>
      <c r="C20" s="11"/>
      <c r="D20" s="23"/>
      <c r="E20" s="24"/>
      <c r="F20" s="25"/>
      <c r="G20" s="25"/>
      <c r="H20" s="25"/>
      <c r="I20" s="25"/>
      <c r="J20" s="25"/>
      <c r="K20" s="25"/>
      <c r="L20" s="25"/>
      <c r="M20" s="25"/>
    </row>
    <row r="21" spans="1:13" s="5" customFormat="1" ht="21.95" customHeight="1" x14ac:dyDescent="0.25">
      <c r="A21" s="10" t="s">
        <v>12</v>
      </c>
      <c r="B21" s="8" t="str">
        <f>'P. O.'!E25</f>
        <v>RUA SEBASTIÃO DE OLIVEIRA</v>
      </c>
      <c r="C21" s="22">
        <f>C22/$C$37</f>
        <v>0.3460287949145065</v>
      </c>
      <c r="D21" s="22">
        <v>0.5</v>
      </c>
      <c r="E21" s="22">
        <v>0.5</v>
      </c>
      <c r="F21" s="22"/>
      <c r="G21" s="22"/>
      <c r="H21" s="22"/>
      <c r="I21" s="22"/>
      <c r="J21" s="22"/>
      <c r="K21" s="22"/>
      <c r="L21" s="22"/>
      <c r="M21" s="22"/>
    </row>
    <row r="22" spans="1:13" s="5" customFormat="1" ht="21.95" customHeight="1" x14ac:dyDescent="0.25">
      <c r="A22" s="8"/>
      <c r="B22" s="8"/>
      <c r="C22" s="30">
        <f>'P. O.'!J25</f>
        <v>121705.4</v>
      </c>
      <c r="D22" s="31">
        <f>D21*$C$22</f>
        <v>60852.7</v>
      </c>
      <c r="E22" s="31">
        <f t="shared" ref="E22" si="1">E21*$C$22</f>
        <v>60852.7</v>
      </c>
      <c r="F22" s="31"/>
      <c r="G22" s="31"/>
      <c r="H22" s="31"/>
      <c r="I22" s="31"/>
      <c r="J22" s="31"/>
      <c r="K22" s="31"/>
      <c r="L22" s="31"/>
      <c r="M22" s="31"/>
    </row>
    <row r="23" spans="1:13" s="5" customFormat="1" ht="21.95" customHeight="1" x14ac:dyDescent="0.25">
      <c r="A23" s="8"/>
      <c r="B23" s="8"/>
      <c r="C23" s="13"/>
      <c r="D23" s="27"/>
      <c r="E23" s="28"/>
      <c r="F23" s="25"/>
      <c r="G23" s="25"/>
      <c r="H23" s="25"/>
      <c r="I23" s="25"/>
      <c r="J23" s="25"/>
      <c r="K23" s="25"/>
      <c r="L23" s="25"/>
      <c r="M23" s="25"/>
    </row>
    <row r="24" spans="1:13" s="5" customFormat="1" ht="21.95" customHeight="1" x14ac:dyDescent="0.25">
      <c r="A24" s="10" t="s">
        <v>14</v>
      </c>
      <c r="B24" s="8" t="str">
        <f>'P. O.'!E35</f>
        <v>RUA VALTER JOSE ROSA (PORTÃO TIGRE)</v>
      </c>
      <c r="C24" s="22">
        <f>C25/$C$37</f>
        <v>0.12585825265088374</v>
      </c>
      <c r="D24" s="22">
        <v>0</v>
      </c>
      <c r="E24" s="22">
        <v>1</v>
      </c>
      <c r="F24" s="22"/>
      <c r="G24" s="22"/>
      <c r="H24" s="22"/>
      <c r="I24" s="22"/>
      <c r="J24" s="22"/>
      <c r="K24" s="22"/>
      <c r="L24" s="22"/>
      <c r="M24" s="22"/>
    </row>
    <row r="25" spans="1:13" s="5" customFormat="1" ht="21.95" customHeight="1" x14ac:dyDescent="0.25">
      <c r="A25" s="8"/>
      <c r="B25" s="8"/>
      <c r="C25" s="30">
        <f>'P. O.'!J35</f>
        <v>44266.919999999991</v>
      </c>
      <c r="D25" s="31">
        <f>D24*$C$25</f>
        <v>0</v>
      </c>
      <c r="E25" s="31">
        <f t="shared" ref="E25" si="2">E24*$C$25</f>
        <v>44266.919999999991</v>
      </c>
      <c r="F25" s="31"/>
      <c r="G25" s="31"/>
      <c r="H25" s="31"/>
      <c r="I25" s="31"/>
      <c r="J25" s="31"/>
      <c r="K25" s="31"/>
      <c r="L25" s="31"/>
      <c r="M25" s="31"/>
    </row>
    <row r="26" spans="1:13" s="5" customFormat="1" ht="21.95" customHeight="1" x14ac:dyDescent="0.25">
      <c r="A26" s="8"/>
      <c r="B26" s="8"/>
      <c r="C26" s="13"/>
      <c r="D26" s="27"/>
      <c r="E26" s="29"/>
      <c r="F26" s="25"/>
      <c r="G26" s="25"/>
      <c r="H26" s="25"/>
      <c r="I26" s="25"/>
      <c r="J26" s="25"/>
      <c r="K26" s="25"/>
      <c r="L26" s="25"/>
      <c r="M26" s="25"/>
    </row>
    <row r="27" spans="1:13" s="5" customFormat="1" ht="21.95" customHeight="1" x14ac:dyDescent="0.25">
      <c r="A27" s="10" t="s">
        <v>24</v>
      </c>
      <c r="B27" s="8" t="str">
        <f>'P. O.'!E45</f>
        <v>RUA ONOFRE SEBASTIÃO ALVIM</v>
      </c>
      <c r="C27" s="22">
        <f>C28/$C$37</f>
        <v>8.3166249877317328E-2</v>
      </c>
      <c r="D27" s="22">
        <v>0</v>
      </c>
      <c r="E27" s="22">
        <v>1</v>
      </c>
      <c r="F27" s="22"/>
      <c r="G27" s="22"/>
      <c r="H27" s="22"/>
      <c r="I27" s="22"/>
      <c r="J27" s="22"/>
      <c r="K27" s="22"/>
      <c r="L27" s="22"/>
      <c r="M27" s="22"/>
    </row>
    <row r="28" spans="1:13" s="5" customFormat="1" ht="21.95" customHeight="1" x14ac:dyDescent="0.25">
      <c r="A28" s="8"/>
      <c r="B28" s="8"/>
      <c r="C28" s="30">
        <f>'P. O.'!J45</f>
        <v>29251.269999999997</v>
      </c>
      <c r="D28" s="31">
        <f>D27*$C$28</f>
        <v>0</v>
      </c>
      <c r="E28" s="31">
        <f t="shared" ref="E28" si="3">E27*$C$28</f>
        <v>29251.269999999997</v>
      </c>
      <c r="F28" s="31"/>
      <c r="G28" s="31"/>
      <c r="H28" s="31"/>
      <c r="I28" s="31"/>
      <c r="J28" s="31"/>
      <c r="K28" s="31"/>
      <c r="L28" s="31"/>
      <c r="M28" s="31"/>
    </row>
    <row r="29" spans="1:13" s="5" customFormat="1" ht="21.95" customHeight="1" x14ac:dyDescent="0.25">
      <c r="A29" s="8"/>
      <c r="B29" s="8"/>
      <c r="C29" s="13"/>
      <c r="D29" s="27"/>
      <c r="E29" s="29"/>
      <c r="F29" s="25"/>
      <c r="G29" s="25"/>
      <c r="H29" s="25"/>
      <c r="I29" s="25"/>
      <c r="J29" s="25"/>
      <c r="K29" s="25"/>
      <c r="L29" s="25"/>
      <c r="M29" s="25"/>
    </row>
    <row r="30" spans="1:13" s="5" customFormat="1" ht="21.95" customHeight="1" x14ac:dyDescent="0.25">
      <c r="A30" s="10" t="s">
        <v>311</v>
      </c>
      <c r="B30" s="8" t="str">
        <f>'P. O.'!E55</f>
        <v>RUA HOMERO GOITÁ</v>
      </c>
      <c r="C30" s="22">
        <f>C31/$C$37</f>
        <v>3.361766521160954E-2</v>
      </c>
      <c r="D30" s="22">
        <v>1</v>
      </c>
      <c r="E30" s="22">
        <v>0</v>
      </c>
      <c r="F30" s="22"/>
      <c r="G30" s="22"/>
      <c r="H30" s="22"/>
      <c r="I30" s="22"/>
      <c r="J30" s="22"/>
      <c r="K30" s="22"/>
      <c r="L30" s="22"/>
      <c r="M30" s="22"/>
    </row>
    <row r="31" spans="1:13" s="5" customFormat="1" ht="21.95" customHeight="1" x14ac:dyDescent="0.25">
      <c r="A31" s="8"/>
      <c r="B31" s="8"/>
      <c r="C31" s="30">
        <f>'P. O.'!J55</f>
        <v>11824.02</v>
      </c>
      <c r="D31" s="31">
        <f>D30*$C$31</f>
        <v>11824.02</v>
      </c>
      <c r="E31" s="31">
        <f>E30*$C$31</f>
        <v>0</v>
      </c>
      <c r="F31" s="31"/>
      <c r="G31" s="31"/>
      <c r="H31" s="31"/>
      <c r="I31" s="31"/>
      <c r="J31" s="31"/>
      <c r="K31" s="31"/>
      <c r="L31" s="31"/>
      <c r="M31" s="31"/>
    </row>
    <row r="32" spans="1:13" s="5" customFormat="1" ht="21.95" customHeight="1" x14ac:dyDescent="0.25">
      <c r="A32" s="8"/>
      <c r="B32" s="8"/>
      <c r="C32" s="13"/>
      <c r="D32" s="27"/>
      <c r="E32" s="29"/>
      <c r="F32" s="25"/>
      <c r="G32" s="25"/>
      <c r="H32" s="25"/>
      <c r="I32" s="25"/>
      <c r="J32" s="25"/>
      <c r="K32" s="25"/>
      <c r="L32" s="25"/>
      <c r="M32" s="25"/>
    </row>
    <row r="33" spans="1:13" s="5" customFormat="1" ht="21.95" customHeight="1" x14ac:dyDescent="0.25">
      <c r="A33" s="10" t="s">
        <v>330</v>
      </c>
      <c r="B33" s="8" t="str">
        <f>'P. O.'!E66</f>
        <v>RUA HORÁCIO PIRES</v>
      </c>
      <c r="C33" s="22">
        <f>C34/$C$37</f>
        <v>0.14786897230084212</v>
      </c>
      <c r="D33" s="22">
        <v>0.5</v>
      </c>
      <c r="E33" s="22">
        <v>0.5</v>
      </c>
      <c r="F33" s="22"/>
      <c r="G33" s="22"/>
      <c r="H33" s="22"/>
      <c r="I33" s="22"/>
      <c r="J33" s="22"/>
      <c r="K33" s="22"/>
      <c r="L33" s="22"/>
      <c r="M33" s="22"/>
    </row>
    <row r="34" spans="1:13" s="5" customFormat="1" ht="21.95" customHeight="1" x14ac:dyDescent="0.25">
      <c r="A34" s="8"/>
      <c r="B34" s="8"/>
      <c r="C34" s="30">
        <f>'P. O.'!J66</f>
        <v>52008.54</v>
      </c>
      <c r="D34" s="31">
        <f>D33*$C$34</f>
        <v>26004.27</v>
      </c>
      <c r="E34" s="31">
        <f>E33*$C$34</f>
        <v>26004.27</v>
      </c>
      <c r="F34" s="31"/>
      <c r="G34" s="31"/>
      <c r="H34" s="31"/>
      <c r="I34" s="31"/>
      <c r="J34" s="31"/>
      <c r="K34" s="31"/>
      <c r="L34" s="31"/>
      <c r="M34" s="31"/>
    </row>
    <row r="35" spans="1:13" s="5" customFormat="1" ht="21.95" customHeight="1" x14ac:dyDescent="0.25">
      <c r="A35" s="8"/>
      <c r="B35" s="8"/>
      <c r="C35" s="13"/>
      <c r="D35" s="27"/>
      <c r="E35" s="29"/>
      <c r="F35" s="25"/>
      <c r="G35" s="25"/>
      <c r="H35" s="25"/>
      <c r="I35" s="25"/>
      <c r="J35" s="25"/>
      <c r="K35" s="25"/>
      <c r="L35" s="25"/>
      <c r="M35" s="25"/>
    </row>
    <row r="36" spans="1:13" s="14" customFormat="1" ht="21.95" customHeight="1" x14ac:dyDescent="0.25">
      <c r="A36" s="15"/>
      <c r="B36" s="16" t="s">
        <v>17</v>
      </c>
      <c r="C36" s="32">
        <f>C15+C27+C24+C21+C18+C12+C30+C33</f>
        <v>1</v>
      </c>
      <c r="D36" s="33">
        <f>D37/$C$37</f>
        <v>0.51638249969208494</v>
      </c>
      <c r="E36" s="33">
        <f t="shared" ref="E36" si="4">E37/$C$37</f>
        <v>0.48361750030791495</v>
      </c>
      <c r="F36" s="33"/>
      <c r="G36" s="33"/>
      <c r="H36" s="33"/>
      <c r="I36" s="33"/>
      <c r="J36" s="33"/>
      <c r="K36" s="33"/>
      <c r="L36" s="33"/>
      <c r="M36" s="33"/>
    </row>
    <row r="37" spans="1:13" s="14" customFormat="1" ht="21.95" customHeight="1" x14ac:dyDescent="0.25">
      <c r="A37" s="19"/>
      <c r="B37" s="20" t="s">
        <v>18</v>
      </c>
      <c r="C37" s="34">
        <f>C28+C25+C22+C19+C16+C13+C31+C34</f>
        <v>351720.44</v>
      </c>
      <c r="D37" s="34">
        <f>D28+D25+D22+D19+D16+D13+D31+D34</f>
        <v>181622.27999999997</v>
      </c>
      <c r="E37" s="34">
        <f>E28+E25+E22+E19+E16+E13+E31+E34</f>
        <v>170098.15999999997</v>
      </c>
      <c r="F37" s="34"/>
      <c r="G37" s="34"/>
      <c r="H37" s="34"/>
      <c r="I37" s="34"/>
      <c r="J37" s="34"/>
      <c r="K37" s="34"/>
      <c r="L37" s="34"/>
      <c r="M37" s="34"/>
    </row>
    <row r="38" spans="1:13" ht="71.25" customHeight="1" x14ac:dyDescent="0.25">
      <c r="A38" s="6" t="s">
        <v>30</v>
      </c>
      <c r="C38" s="6"/>
      <c r="D38" s="7"/>
      <c r="F38" s="7"/>
      <c r="G38" s="6"/>
      <c r="H38" s="7"/>
      <c r="J38" s="6" t="s">
        <v>30</v>
      </c>
    </row>
    <row r="39" spans="1:13" x14ac:dyDescent="0.25">
      <c r="A39" s="7" t="str">
        <f>'P. O.'!$B$79</f>
        <v>Prefeitura Municipal De Santos Dumont</v>
      </c>
      <c r="F39" s="2"/>
      <c r="G39" s="2"/>
      <c r="J39" s="7" t="s">
        <v>25</v>
      </c>
    </row>
    <row r="40" spans="1:13" x14ac:dyDescent="0.25">
      <c r="A40" s="4" t="str">
        <f>'P. O.'!$B$80</f>
        <v>Pacífico Estites Rodrigues Júnior</v>
      </c>
      <c r="F40" s="2"/>
      <c r="G40" s="2"/>
      <c r="J40" t="str">
        <f>'P. O.'!G80</f>
        <v>Reinaldo Brum de Souza</v>
      </c>
    </row>
    <row r="41" spans="1:13" x14ac:dyDescent="0.25">
      <c r="A41" s="4" t="str">
        <f>'P. O.'!$B$81</f>
        <v>Prefeito Municipal De Santos Dumont</v>
      </c>
      <c r="F41" s="2"/>
      <c r="G41" s="2"/>
      <c r="J41" t="str">
        <f>'P. O.'!G81</f>
        <v>Engenheiro Civil</v>
      </c>
    </row>
    <row r="42" spans="1:13" x14ac:dyDescent="0.25">
      <c r="E42" s="3"/>
      <c r="J42" t="str">
        <f>'P. O.'!G82</f>
        <v>CREA-MG 351.037/D</v>
      </c>
    </row>
    <row r="43" spans="1:13" x14ac:dyDescent="0.25">
      <c r="A43" s="4"/>
      <c r="E43" s="3"/>
    </row>
    <row r="44" spans="1:13" x14ac:dyDescent="0.25">
      <c r="A44" s="5"/>
      <c r="E44" s="3"/>
    </row>
    <row r="45" spans="1:13" x14ac:dyDescent="0.25">
      <c r="A45" s="4"/>
      <c r="E45" s="3"/>
    </row>
    <row r="46" spans="1:13" x14ac:dyDescent="0.25">
      <c r="A46" s="5"/>
      <c r="E46" s="3"/>
    </row>
    <row r="47" spans="1:13" x14ac:dyDescent="0.25">
      <c r="A47" s="18"/>
      <c r="B47" s="18"/>
      <c r="C47" s="18"/>
      <c r="D47" s="18"/>
      <c r="E47" s="18"/>
    </row>
    <row r="48" spans="1:13" x14ac:dyDescent="0.25">
      <c r="A48" s="17"/>
      <c r="B48" s="17"/>
      <c r="C48" s="17"/>
      <c r="D48" s="17"/>
      <c r="E48" s="17"/>
    </row>
    <row r="49" spans="1:5" x14ac:dyDescent="0.25">
      <c r="A49" s="17"/>
      <c r="B49" s="17"/>
      <c r="C49" s="17"/>
      <c r="D49" s="17"/>
      <c r="E49" s="17"/>
    </row>
    <row r="50" spans="1:5" x14ac:dyDescent="0.25">
      <c r="A50" s="17"/>
      <c r="B50" s="17"/>
      <c r="C50" s="17"/>
      <c r="D50" s="17"/>
      <c r="E50" s="17"/>
    </row>
    <row r="51" spans="1:5" x14ac:dyDescent="0.25">
      <c r="E51" s="3"/>
    </row>
    <row r="52" spans="1:5" x14ac:dyDescent="0.25">
      <c r="E52" s="3"/>
    </row>
    <row r="53" spans="1:5" x14ac:dyDescent="0.25">
      <c r="E53" s="3"/>
    </row>
    <row r="54" spans="1:5" x14ac:dyDescent="0.25">
      <c r="E54" s="3"/>
    </row>
    <row r="55" spans="1:5" x14ac:dyDescent="0.25">
      <c r="E55" s="3"/>
    </row>
    <row r="56" spans="1:5" x14ac:dyDescent="0.25">
      <c r="E56" s="3"/>
    </row>
    <row r="57" spans="1:5" x14ac:dyDescent="0.25">
      <c r="E57" s="3"/>
    </row>
    <row r="58" spans="1:5" x14ac:dyDescent="0.25">
      <c r="E58" s="3"/>
    </row>
    <row r="59" spans="1:5" x14ac:dyDescent="0.25">
      <c r="E59" s="3"/>
    </row>
    <row r="60" spans="1:5" x14ac:dyDescent="0.25">
      <c r="E60" s="3"/>
    </row>
    <row r="61" spans="1:5" x14ac:dyDescent="0.25">
      <c r="E61" s="3"/>
    </row>
    <row r="62" spans="1:5" x14ac:dyDescent="0.25">
      <c r="E62" s="3"/>
    </row>
    <row r="63" spans="1:5" x14ac:dyDescent="0.25">
      <c r="E63" s="3"/>
    </row>
    <row r="64" spans="1:5" x14ac:dyDescent="0.25">
      <c r="E64" s="3"/>
    </row>
    <row r="65" spans="5:5" x14ac:dyDescent="0.25">
      <c r="E65" s="3"/>
    </row>
    <row r="66" spans="5:5" x14ac:dyDescent="0.25">
      <c r="E66" s="3"/>
    </row>
    <row r="67" spans="5:5" x14ac:dyDescent="0.25">
      <c r="E67" s="3"/>
    </row>
    <row r="68" spans="5:5" x14ac:dyDescent="0.25">
      <c r="E68" s="3"/>
    </row>
    <row r="69" spans="5:5" x14ac:dyDescent="0.25">
      <c r="E69" s="3"/>
    </row>
    <row r="70" spans="5:5" x14ac:dyDescent="0.25">
      <c r="E70" s="3"/>
    </row>
    <row r="71" spans="5:5" x14ac:dyDescent="0.25">
      <c r="E71" s="3"/>
    </row>
    <row r="72" spans="5:5" x14ac:dyDescent="0.25">
      <c r="E72" s="3"/>
    </row>
    <row r="73" spans="5:5" x14ac:dyDescent="0.25">
      <c r="E73" s="3"/>
    </row>
    <row r="74" spans="5:5" x14ac:dyDescent="0.25">
      <c r="E74" s="3"/>
    </row>
    <row r="75" spans="5:5" x14ac:dyDescent="0.25">
      <c r="E75" s="3"/>
    </row>
    <row r="76" spans="5:5" x14ac:dyDescent="0.25">
      <c r="E76" s="3"/>
    </row>
    <row r="77" spans="5:5" x14ac:dyDescent="0.25">
      <c r="E77" s="3"/>
    </row>
    <row r="78" spans="5:5" x14ac:dyDescent="0.25">
      <c r="E78" s="3"/>
    </row>
    <row r="79" spans="5:5" x14ac:dyDescent="0.25">
      <c r="E79" s="3"/>
    </row>
    <row r="80" spans="5:5" x14ac:dyDescent="0.25">
      <c r="E80" s="3"/>
    </row>
    <row r="81" spans="5:5" x14ac:dyDescent="0.25">
      <c r="E81" s="3"/>
    </row>
    <row r="82" spans="5:5" x14ac:dyDescent="0.25">
      <c r="E82" s="3"/>
    </row>
    <row r="83" spans="5:5" x14ac:dyDescent="0.25">
      <c r="E83" s="3"/>
    </row>
    <row r="84" spans="5:5" x14ac:dyDescent="0.25">
      <c r="E84" s="3"/>
    </row>
    <row r="85" spans="5:5" x14ac:dyDescent="0.25">
      <c r="E85" s="3"/>
    </row>
    <row r="86" spans="5:5" x14ac:dyDescent="0.25">
      <c r="E86" s="3"/>
    </row>
    <row r="87" spans="5:5" x14ac:dyDescent="0.25">
      <c r="E87" s="3"/>
    </row>
    <row r="88" spans="5:5" x14ac:dyDescent="0.25">
      <c r="E88" s="3"/>
    </row>
    <row r="89" spans="5:5" x14ac:dyDescent="0.25">
      <c r="E89" s="3"/>
    </row>
    <row r="90" spans="5:5" x14ac:dyDescent="0.25">
      <c r="E90" s="3"/>
    </row>
    <row r="91" spans="5:5" x14ac:dyDescent="0.25">
      <c r="E91" s="3"/>
    </row>
    <row r="92" spans="5:5" x14ac:dyDescent="0.25">
      <c r="E92" s="3"/>
    </row>
    <row r="93" spans="5:5" x14ac:dyDescent="0.25">
      <c r="E93" s="3"/>
    </row>
    <row r="94" spans="5:5" x14ac:dyDescent="0.25">
      <c r="E94" s="3"/>
    </row>
    <row r="95" spans="5:5" x14ac:dyDescent="0.25">
      <c r="E95" s="3"/>
    </row>
    <row r="96" spans="5:5" x14ac:dyDescent="0.25">
      <c r="E96" s="3"/>
    </row>
    <row r="97" spans="5:5" x14ac:dyDescent="0.25">
      <c r="E97" s="3"/>
    </row>
    <row r="98" spans="5:5" x14ac:dyDescent="0.25">
      <c r="E98" s="3"/>
    </row>
    <row r="99" spans="5:5" x14ac:dyDescent="0.25">
      <c r="E99" s="3"/>
    </row>
    <row r="100" spans="5:5" x14ac:dyDescent="0.25">
      <c r="E100" s="3"/>
    </row>
    <row r="101" spans="5:5" x14ac:dyDescent="0.25">
      <c r="E101" s="3"/>
    </row>
    <row r="102" spans="5:5" x14ac:dyDescent="0.25">
      <c r="E102" s="3"/>
    </row>
    <row r="103" spans="5:5" x14ac:dyDescent="0.25">
      <c r="E103" s="3"/>
    </row>
    <row r="104" spans="5:5" x14ac:dyDescent="0.25">
      <c r="E104" s="3"/>
    </row>
    <row r="105" spans="5:5" x14ac:dyDescent="0.25">
      <c r="E105" s="3"/>
    </row>
    <row r="106" spans="5:5" x14ac:dyDescent="0.25">
      <c r="E106" s="3"/>
    </row>
    <row r="107" spans="5:5" x14ac:dyDescent="0.25">
      <c r="E107" s="3"/>
    </row>
    <row r="108" spans="5:5" x14ac:dyDescent="0.25">
      <c r="E108" s="3"/>
    </row>
    <row r="109" spans="5:5" x14ac:dyDescent="0.25">
      <c r="E109" s="3"/>
    </row>
    <row r="110" spans="5:5" x14ac:dyDescent="0.25">
      <c r="E110" s="3"/>
    </row>
    <row r="111" spans="5:5" x14ac:dyDescent="0.25">
      <c r="E111" s="3"/>
    </row>
    <row r="112" spans="5:5" x14ac:dyDescent="0.25">
      <c r="E112" s="3"/>
    </row>
    <row r="113" spans="5:5" x14ac:dyDescent="0.25">
      <c r="E113" s="3"/>
    </row>
    <row r="114" spans="5:5" x14ac:dyDescent="0.25">
      <c r="E114" s="3"/>
    </row>
    <row r="115" spans="5:5" x14ac:dyDescent="0.25">
      <c r="E115" s="3"/>
    </row>
    <row r="116" spans="5:5" x14ac:dyDescent="0.25">
      <c r="E116" s="3"/>
    </row>
    <row r="117" spans="5:5" x14ac:dyDescent="0.25">
      <c r="E117" s="3"/>
    </row>
    <row r="118" spans="5:5" x14ac:dyDescent="0.25">
      <c r="E118" s="3"/>
    </row>
    <row r="119" spans="5:5" x14ac:dyDescent="0.25">
      <c r="E119" s="3"/>
    </row>
    <row r="120" spans="5:5" x14ac:dyDescent="0.25">
      <c r="E120" s="3"/>
    </row>
    <row r="121" spans="5:5" x14ac:dyDescent="0.25">
      <c r="E121" s="3"/>
    </row>
    <row r="122" spans="5:5" x14ac:dyDescent="0.25">
      <c r="E122" s="3"/>
    </row>
    <row r="123" spans="5:5" x14ac:dyDescent="0.25">
      <c r="E123" s="3"/>
    </row>
    <row r="124" spans="5:5" x14ac:dyDescent="0.25">
      <c r="E124" s="3"/>
    </row>
    <row r="125" spans="5:5" x14ac:dyDescent="0.25">
      <c r="E125" s="3"/>
    </row>
    <row r="126" spans="5:5" x14ac:dyDescent="0.25">
      <c r="E126" s="3"/>
    </row>
    <row r="127" spans="5:5" x14ac:dyDescent="0.25">
      <c r="E127" s="3"/>
    </row>
    <row r="128" spans="5:5" x14ac:dyDescent="0.25">
      <c r="E128" s="3"/>
    </row>
    <row r="129" spans="5:5" x14ac:dyDescent="0.25">
      <c r="E129" s="3"/>
    </row>
    <row r="130" spans="5:5" x14ac:dyDescent="0.25">
      <c r="E130" s="3"/>
    </row>
    <row r="131" spans="5:5" x14ac:dyDescent="0.25">
      <c r="E131" s="3"/>
    </row>
    <row r="132" spans="5:5" x14ac:dyDescent="0.25">
      <c r="E132" s="3"/>
    </row>
    <row r="133" spans="5:5" x14ac:dyDescent="0.25">
      <c r="E133" s="3"/>
    </row>
    <row r="134" spans="5:5" x14ac:dyDescent="0.25">
      <c r="E134" s="3"/>
    </row>
    <row r="135" spans="5:5" x14ac:dyDescent="0.25">
      <c r="E135" s="3"/>
    </row>
    <row r="136" spans="5:5" x14ac:dyDescent="0.25">
      <c r="E136" s="3"/>
    </row>
    <row r="137" spans="5:5" x14ac:dyDescent="0.25">
      <c r="E137" s="3"/>
    </row>
    <row r="138" spans="5:5" x14ac:dyDescent="0.25">
      <c r="E138" s="3"/>
    </row>
    <row r="139" spans="5:5" x14ac:dyDescent="0.25">
      <c r="E139" s="3"/>
    </row>
    <row r="140" spans="5:5" x14ac:dyDescent="0.25">
      <c r="E140" s="3"/>
    </row>
    <row r="141" spans="5:5" x14ac:dyDescent="0.25">
      <c r="E141" s="3"/>
    </row>
    <row r="142" spans="5:5" x14ac:dyDescent="0.25">
      <c r="E142" s="3"/>
    </row>
    <row r="143" spans="5:5" x14ac:dyDescent="0.25">
      <c r="E143" s="3"/>
    </row>
    <row r="144" spans="5:5" x14ac:dyDescent="0.25">
      <c r="E144" s="3"/>
    </row>
    <row r="145" spans="5:5" x14ac:dyDescent="0.25">
      <c r="E145" s="3"/>
    </row>
    <row r="146" spans="5:5" x14ac:dyDescent="0.25">
      <c r="E146" s="3"/>
    </row>
    <row r="147" spans="5:5" x14ac:dyDescent="0.25">
      <c r="E147" s="3"/>
    </row>
    <row r="148" spans="5:5" x14ac:dyDescent="0.25">
      <c r="E148" s="3"/>
    </row>
    <row r="149" spans="5:5" x14ac:dyDescent="0.25">
      <c r="E149" s="3"/>
    </row>
    <row r="150" spans="5:5" x14ac:dyDescent="0.25">
      <c r="E150" s="3"/>
    </row>
    <row r="151" spans="5:5" x14ac:dyDescent="0.25">
      <c r="E151" s="3"/>
    </row>
  </sheetData>
  <sheetProtection selectLockedCells="1" selectUnlockedCells="1"/>
  <mergeCells count="16">
    <mergeCell ref="A4:H4"/>
    <mergeCell ref="A2:M2"/>
    <mergeCell ref="A9:E9"/>
    <mergeCell ref="A1:M1"/>
    <mergeCell ref="I3:K3"/>
    <mergeCell ref="L3:M3"/>
    <mergeCell ref="I4:K4"/>
    <mergeCell ref="L4:M4"/>
    <mergeCell ref="I5:K5"/>
    <mergeCell ref="L5:M5"/>
    <mergeCell ref="I6:K6"/>
    <mergeCell ref="L6:M6"/>
    <mergeCell ref="I7:K7"/>
    <mergeCell ref="L7:M7"/>
    <mergeCell ref="I8:K8"/>
    <mergeCell ref="L8:M8"/>
  </mergeCells>
  <pageMargins left="0.52013888888888893" right="0.40972222222222221" top="0.33" bottom="0.44" header="0.3" footer="0.39"/>
  <pageSetup paperSize="9" scale="55" firstPageNumber="0" orientation="landscape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6</vt:i4>
      </vt:variant>
    </vt:vector>
  </HeadingPairs>
  <TitlesOfParts>
    <vt:vector size="11" baseType="lpstr">
      <vt:lpstr>DADOS</vt:lpstr>
      <vt:lpstr>BDI</vt:lpstr>
      <vt:lpstr>P. O.</vt:lpstr>
      <vt:lpstr>MEM CALCULO</vt:lpstr>
      <vt:lpstr>CRONO. F-F</vt:lpstr>
      <vt:lpstr>BDI!Area_de_impressao</vt:lpstr>
      <vt:lpstr>'CRONO. F-F'!Area_de_impressao</vt:lpstr>
      <vt:lpstr>'MEM CALCULO'!Area_de_impressao</vt:lpstr>
      <vt:lpstr>'P. O.'!Area_de_impressao</vt:lpstr>
      <vt:lpstr>'MEM CALCULO'!Titulos_de_impressao</vt:lpstr>
      <vt:lpstr>'P. O.'!Titulos_de_impressao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Engenharia</dc:creator>
  <cp:lastModifiedBy>Engenharia Ampar</cp:lastModifiedBy>
  <cp:lastPrinted>2026-01-28T19:36:22Z</cp:lastPrinted>
  <dcterms:created xsi:type="dcterms:W3CDTF">2020-05-28T20:46:40Z</dcterms:created>
  <dcterms:modified xsi:type="dcterms:W3CDTF">2026-01-29T12:36:34Z</dcterms:modified>
</cp:coreProperties>
</file>