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4240" windowHeight="13740" tabRatio="614" firstSheet="1" activeTab="1"/>
  </bookViews>
  <sheets>
    <sheet name="DADOS" sheetId="15" state="hidden" r:id="rId1"/>
    <sheet name="BDI" sheetId="12" r:id="rId2"/>
    <sheet name="P. O." sheetId="13" r:id="rId3"/>
    <sheet name="MEMÓRIA DE CÁLCULO" sheetId="16" r:id="rId4"/>
    <sheet name="CRONO. F-F" sheetId="2" r:id="rId5"/>
  </sheets>
  <definedNames>
    <definedName name="_xlnm._FilterDatabase" localSheetId="1" hidden="1">BDI!$A$7:$C$7</definedName>
    <definedName name="_xlnm._FilterDatabase" localSheetId="3" hidden="1">'MEMÓRIA DE CÁLCULO'!$G$51:$G$54</definedName>
    <definedName name="_xlnm._FilterDatabase" localSheetId="2" hidden="1">'P. O.'!$G$52:$G$55</definedName>
    <definedName name="_xlnm.Print_Area" localSheetId="1">BDI!$A$1:$C$53</definedName>
    <definedName name="_xlnm.Print_Area" localSheetId="4">'CRONO. F-F'!$A$1:$M$43</definedName>
    <definedName name="_xlnm.Print_Area" localSheetId="3">'MEMÓRIA DE CÁLCULO'!$B$1:$J$57</definedName>
    <definedName name="_xlnm.Print_Area" localSheetId="2">'P. O.'!$B$1:$J$58</definedName>
    <definedName name="_xlnm.Print_Titles" localSheetId="3">'MEMÓRIA DE CÁLCULO'!$10:$10</definedName>
    <definedName name="_xlnm.Print_Titles" localSheetId="2">'P. O.'!$10:$10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16"/>
  <c r="G39" i="13"/>
  <c r="G40"/>
  <c r="B33" i="2"/>
  <c r="B30"/>
  <c r="B27"/>
  <c r="B24"/>
  <c r="B21"/>
  <c r="B18"/>
  <c r="B15"/>
  <c r="B12"/>
  <c r="G23" i="13" l="1"/>
  <c r="G54" i="16" l="1" a="1"/>
  <c r="G54" s="1"/>
  <c r="G53"/>
  <c r="B53" a="1"/>
  <c r="B53" s="1"/>
  <c r="B52" a="1"/>
  <c r="B52" s="1"/>
  <c r="B51" a="1"/>
  <c r="B51" s="1"/>
  <c r="G48"/>
  <c r="G41"/>
  <c r="G40"/>
  <c r="G35"/>
  <c r="G38" s="1"/>
  <c r="G31"/>
  <c r="G21"/>
  <c r="G44" s="1"/>
  <c r="G20"/>
  <c r="G19"/>
  <c r="G18"/>
  <c r="G37" s="1"/>
  <c r="G36" s="1"/>
  <c r="G17"/>
  <c r="I6" a="1"/>
  <c r="I6" s="1"/>
  <c r="G18" i="13"/>
  <c r="G37" s="1"/>
  <c r="G36" s="1"/>
  <c r="G41"/>
  <c r="G20"/>
  <c r="G35"/>
  <c r="G38" s="1"/>
  <c r="G17"/>
  <c r="G31"/>
  <c r="G21"/>
  <c r="G44" s="1"/>
  <c r="G19"/>
  <c r="G29" s="1"/>
  <c r="G48"/>
  <c r="J41" i="2"/>
  <c r="A51" i="12"/>
  <c r="G54" i="13"/>
  <c r="G55" a="1"/>
  <c r="G55" s="1"/>
  <c r="L4" i="2"/>
  <c r="C12" i="12"/>
  <c r="AI9" i="15" s="1"/>
  <c r="I8" i="2"/>
  <c r="I5"/>
  <c r="I4"/>
  <c r="A8"/>
  <c r="A6"/>
  <c r="A4"/>
  <c r="C19" i="12"/>
  <c r="C17"/>
  <c r="C22"/>
  <c r="C20"/>
  <c r="I6" i="13" a="1"/>
  <c r="I6" s="1"/>
  <c r="L6" i="2" s="1"/>
  <c r="A34" i="12"/>
  <c r="A26"/>
  <c r="C24"/>
  <c r="C21"/>
  <c r="C18"/>
  <c r="B54" i="13" a="1"/>
  <c r="B54" s="1"/>
  <c r="A42" i="2" s="1"/>
  <c r="B53" i="13" a="1"/>
  <c r="B53" s="1"/>
  <c r="A41" i="2" s="1"/>
  <c r="B52" i="13" a="1"/>
  <c r="B52" s="1"/>
  <c r="A40" i="2" s="1"/>
  <c r="G22" i="16" l="1"/>
  <c r="G23" s="1"/>
  <c r="G29"/>
  <c r="G30" s="1"/>
  <c r="G25"/>
  <c r="G26" s="1"/>
  <c r="J32"/>
  <c r="J13"/>
  <c r="G22" i="13"/>
  <c r="G25"/>
  <c r="G26" s="1"/>
  <c r="G30"/>
  <c r="J43" i="2"/>
  <c r="J42"/>
  <c r="A52" i="12"/>
  <c r="A53"/>
  <c r="A43"/>
  <c r="A44"/>
  <c r="A45"/>
  <c r="A37"/>
  <c r="P9" i="15"/>
  <c r="Z9"/>
  <c r="V9"/>
  <c r="T9"/>
  <c r="AD9"/>
  <c r="U9"/>
  <c r="Q9"/>
  <c r="AJ9"/>
  <c r="O9"/>
  <c r="L9"/>
  <c r="AK9"/>
  <c r="K9"/>
  <c r="AE9"/>
  <c r="AA9"/>
  <c r="J9"/>
  <c r="AF9"/>
  <c r="Y9"/>
  <c r="J34" i="16" l="1"/>
  <c r="J42"/>
  <c r="J24"/>
  <c r="J27"/>
  <c r="J16"/>
  <c r="C23" i="12"/>
  <c r="C26" l="1"/>
  <c r="I8" i="16" s="1"/>
  <c r="I8" i="13" l="1"/>
  <c r="I28" s="1"/>
  <c r="J28" s="1"/>
  <c r="I46" l="1"/>
  <c r="J46" s="1"/>
  <c r="I15"/>
  <c r="J15" s="1"/>
  <c r="I14"/>
  <c r="J14" s="1"/>
  <c r="I43"/>
  <c r="J43" s="1"/>
  <c r="I47"/>
  <c r="J47" s="1"/>
  <c r="I45"/>
  <c r="J45" s="1"/>
  <c r="I36"/>
  <c r="J36" s="1"/>
  <c r="I35"/>
  <c r="J35" s="1"/>
  <c r="I44"/>
  <c r="J44" s="1"/>
  <c r="I23"/>
  <c r="J23" s="1"/>
  <c r="I19"/>
  <c r="J19" s="1"/>
  <c r="I20"/>
  <c r="J20" s="1"/>
  <c r="I30"/>
  <c r="J30" s="1"/>
  <c r="I22"/>
  <c r="J22" s="1"/>
  <c r="I37"/>
  <c r="J37" s="1"/>
  <c r="I17"/>
  <c r="J17" s="1"/>
  <c r="I26"/>
  <c r="J26" s="1"/>
  <c r="I12"/>
  <c r="J12" s="1"/>
  <c r="I48"/>
  <c r="J48" s="1"/>
  <c r="I25"/>
  <c r="J25" s="1"/>
  <c r="I40"/>
  <c r="J40" s="1"/>
  <c r="I41"/>
  <c r="J41" s="1"/>
  <c r="I33"/>
  <c r="J33" s="1"/>
  <c r="I38"/>
  <c r="J38" s="1"/>
  <c r="I21"/>
  <c r="J21" s="1"/>
  <c r="I18"/>
  <c r="J18" s="1"/>
  <c r="I39"/>
  <c r="J39" s="1"/>
  <c r="I29"/>
  <c r="J29" s="1"/>
  <c r="J27" s="1"/>
  <c r="C25" i="2" s="1"/>
  <c r="I31" i="13"/>
  <c r="J31" s="1"/>
  <c r="L8" i="2"/>
  <c r="J13" i="13" l="1"/>
  <c r="C16" i="2" s="1"/>
  <c r="J42" i="13"/>
  <c r="C34" i="2" s="1"/>
  <c r="J34" i="13"/>
  <c r="C31" i="2" s="1"/>
  <c r="D19"/>
  <c r="D16"/>
  <c r="J32" i="13"/>
  <c r="C28" i="2" s="1"/>
  <c r="J11" i="13"/>
  <c r="C13" i="2" s="1"/>
  <c r="J24" i="13"/>
  <c r="C22" i="2" s="1"/>
  <c r="J16" i="13"/>
  <c r="C19" i="2" s="1"/>
  <c r="D25"/>
  <c r="C38" l="1"/>
  <c r="E31"/>
  <c r="J50" i="13"/>
  <c r="D13" i="2"/>
  <c r="D34"/>
  <c r="E34"/>
  <c r="D22"/>
  <c r="D28"/>
  <c r="E16"/>
  <c r="E38" l="1"/>
  <c r="D38"/>
  <c r="C12" l="1"/>
  <c r="E37" l="1"/>
  <c r="D37"/>
  <c r="C27"/>
  <c r="C33"/>
  <c r="C18"/>
  <c r="C21"/>
  <c r="C24"/>
  <c r="C15"/>
  <c r="C30"/>
  <c r="C37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<sst xmlns="http://schemas.openxmlformats.org/spreadsheetml/2006/main" count="645" uniqueCount="318">
  <si>
    <t>ITEM</t>
  </si>
  <si>
    <t>CÓDIGO</t>
  </si>
  <si>
    <t>DESCRIÇÃO</t>
  </si>
  <si>
    <t>UND</t>
  </si>
  <si>
    <t>QTD.</t>
  </si>
  <si>
    <t>VALOR TOTAL COM BDI (R$)</t>
  </si>
  <si>
    <t>1.1</t>
  </si>
  <si>
    <t>2</t>
  </si>
  <si>
    <t>3</t>
  </si>
  <si>
    <t>4</t>
  </si>
  <si>
    <t>5</t>
  </si>
  <si>
    <t>CRONOGRAMA FÍSICO-FINANCEIRO</t>
  </si>
  <si>
    <t>FÍSICO / FINANCEIRO</t>
  </si>
  <si>
    <t>FÍSICO</t>
  </si>
  <si>
    <t>FINANCEIRO</t>
  </si>
  <si>
    <t>SERVIÇOS PRELIMINARES</t>
  </si>
  <si>
    <t>UNID</t>
  </si>
  <si>
    <t>M2</t>
  </si>
  <si>
    <t>DEMOLIÇÃO</t>
  </si>
  <si>
    <t>M3</t>
  </si>
  <si>
    <t>M</t>
  </si>
  <si>
    <t>6</t>
  </si>
  <si>
    <t>ALVENARIA/REVESTIMENTOS</t>
  </si>
  <si>
    <t>7</t>
  </si>
  <si>
    <t>8</t>
  </si>
  <si>
    <t>ESQUADRIAS</t>
  </si>
  <si>
    <t>PINTURA</t>
  </si>
  <si>
    <t>SERVIÇOS COMPLEMENTARES</t>
  </si>
  <si>
    <t>REVESTIMENTO COM CERÂMICA APLICADO EM PISO, ACABAMENTO ESMALTADO, AMBIENTE INTERNO, PADRÃO EXTRA, DIMENSÃO DA PEÇA ATÉ 2025 CM2, PEI V, ASSENTAMENTO COM ARGAMASSA INDUSTRIALIZADA, INCLUSIVE REJUNTAMENTO</t>
  </si>
  <si>
    <t>CONTRAPISO DESEMPENADO COM ARGAMASSA, TRAÇO 1:3 (CIMENTO E AREIA), ESP. 30MM</t>
  </si>
  <si>
    <t>RODAPÉ COM REVESTIMENTO EM CERÂMICA ESMALTADA COMERCIAL, ALTURA 10CM, PEI IV, ASSENTAMENTO COM ARGAMASSA INDUSTRIALIZADA, INCLUSIVE REJUNTAMENTO</t>
  </si>
  <si>
    <t>PINTURA ACRÍLICA EM PAREDE, DUAS (2) DEMÃOS, EXCLUSIVE SELADOR ACRÍLICO E MASSA ACRÍLICA/CORRIDA (PVA)</t>
  </si>
  <si>
    <t>PINTURA ACRÍLICA EM TETO, DUAS (2) DEMÃOS, EXCLUSIVE SELADOR ACRÍLICO E MASSA ACRÍLICA/CORRIDA (PVA)</t>
  </si>
  <si>
    <t>PINTURA ESMALTE EM ESQUADRIA DE MADEIRA, DUAS (2) DEMÃOS, INCLUSIVE UMA (1) DEMÃO DE FUNDO NIVELADOR, EXCLUSIVE MASSA A ÓLEO</t>
  </si>
  <si>
    <t>PINTURA COM VERNIZ SINTÉTICO MARÍTIMO EM ESQUADRIAS DE MADEIRA, DUAS (2) DEMÃOS, ACABAMENTO TIPO BRILHANTE</t>
  </si>
  <si>
    <t>PINTURA ESMALTE EM ESQUADRIAS DE FERRO, DUAS (2) DEMÃOS, INCLUSIVE UMA (1) DEMÃO DE FUNDO ANTICORROSIVO</t>
  </si>
  <si>
    <t>LIMPEZA FINAL PARA ENTREGA DA OBRA</t>
  </si>
  <si>
    <t>___________________________________________________________</t>
  </si>
  <si>
    <t>Responsável Técnico</t>
  </si>
  <si>
    <t>Pedro Giovanni Vieira Vidal</t>
  </si>
  <si>
    <t>VALOR TOTAL:</t>
  </si>
  <si>
    <t>CUSTO UNIT. 
SEM BDI (R$)</t>
  </si>
  <si>
    <t>CUSTO UNIT.
COM BDI (R$)</t>
  </si>
  <si>
    <t>_________________________________________________________</t>
  </si>
  <si>
    <t>ED-50727</t>
  </si>
  <si>
    <t>ED-50542</t>
  </si>
  <si>
    <t>ED-50568</t>
  </si>
  <si>
    <t>ED-50771</t>
  </si>
  <si>
    <t>ED-49603</t>
  </si>
  <si>
    <t>ED-50451</t>
  </si>
  <si>
    <t>ED-50452</t>
  </si>
  <si>
    <t>ED-50493</t>
  </si>
  <si>
    <t>ED-50526</t>
  </si>
  <si>
    <t>ED-50491</t>
  </si>
  <si>
    <t>ED-50266</t>
  </si>
  <si>
    <t xml:space="preserve">Conforme a legislação tributária municipal, o percentual da base de cálculo para o ISS: </t>
  </si>
  <si>
    <t>Sobre a base de cálculo, a alíquota do ISS (entre 2% e 5%):</t>
  </si>
  <si>
    <t>ITENS</t>
  </si>
  <si>
    <t>SIGLAS</t>
  </si>
  <si>
    <t>% Adotado</t>
  </si>
  <si>
    <t>1° Quartil</t>
  </si>
  <si>
    <t>2° Quartil</t>
  </si>
  <si>
    <t>Administração Central</t>
  </si>
  <si>
    <t>AC</t>
  </si>
  <si>
    <t>Seguro e Garantia</t>
  </si>
  <si>
    <t>SG</t>
  </si>
  <si>
    <t>Risco</t>
  </si>
  <si>
    <t>R</t>
  </si>
  <si>
    <t>Despesas Financeiras</t>
  </si>
  <si>
    <t>DF</t>
  </si>
  <si>
    <t>Lucro</t>
  </si>
  <si>
    <t>L</t>
  </si>
  <si>
    <t>Tributos (impostos COFINS 3%, e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</si>
  <si>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</si>
  <si>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</si>
  <si>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</si>
  <si>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</si>
  <si>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</si>
  <si>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FONTE</t>
  </si>
  <si>
    <t>PLANILHA ORÇAMENTÁRIA</t>
  </si>
  <si>
    <t xml:space="preserve">BDI: </t>
  </si>
  <si>
    <t xml:space="preserve">DATA: </t>
  </si>
  <si>
    <t xml:space="preserve">ISS: </t>
  </si>
  <si>
    <t>REGIME:</t>
  </si>
  <si>
    <t>SOLICITANTE:</t>
  </si>
  <si>
    <t xml:space="preserve">OBRA: </t>
  </si>
  <si>
    <t xml:space="preserve">ENDEREÇO: </t>
  </si>
  <si>
    <t>REFERÊNCIA:</t>
  </si>
  <si>
    <t>PREFEITURA MUNICIPAL DE ANDRELÂNDIA</t>
  </si>
  <si>
    <t>MUNICIPIO</t>
  </si>
  <si>
    <t>ALÉM PARAIBA</t>
  </si>
  <si>
    <t>MIGUEL BELMIRO DE SOUZA JÚNIOR</t>
  </si>
  <si>
    <t>ANDRELÂNDIA</t>
  </si>
  <si>
    <t>PREFEITO MUNICIPAL DE ANDRELÂNDIA</t>
  </si>
  <si>
    <t>FRANCISCO CARLOS RIVELLI</t>
  </si>
  <si>
    <t>ARACITABA</t>
  </si>
  <si>
    <t>PREFEITURA MUNICIPAL DE ARACITABA</t>
  </si>
  <si>
    <t>PREFEITA MUNICIPAL DE ARACITABA</t>
  </si>
  <si>
    <t>TEREZINHA MARCÍLIA DO AMARAL TOLEDO</t>
  </si>
  <si>
    <t>ASTOLFO DUTRA</t>
  </si>
  <si>
    <t>PREFEITURA MUNICIPAL DE ASTOLFO DUTRA</t>
  </si>
  <si>
    <t>PREFEITO MUNICIPAL DE ASTOLFO DUTRA</t>
  </si>
  <si>
    <t>BRUNO RIBEIRO</t>
  </si>
  <si>
    <t>BELMIRO BRAGA</t>
  </si>
  <si>
    <t>PREFEITURA MUNICIPAL DE BELMIRO BRAGA</t>
  </si>
  <si>
    <t>PREFEITO MUNICIPAL DE BELMIRO BRAGA</t>
  </si>
  <si>
    <t>JOSÉ PAULO DE OLIVEIRA FRANCO</t>
  </si>
  <si>
    <t>CATAGUASES</t>
  </si>
  <si>
    <t>PREFEITURA MUNICIPAL DE CATAGUASES</t>
  </si>
  <si>
    <t>PREFEITO MUNICIPAL DE CATAGUASES</t>
  </si>
  <si>
    <t>JOSÉ INÁCIO PEIXOTO PARREIRAS HENRIQUES</t>
  </si>
  <si>
    <t>ERVÁLIA</t>
  </si>
  <si>
    <t>PREFEITURA MUNICIPAL DE ERVÁLIA</t>
  </si>
  <si>
    <t>PREFEITO MUNICIPAL DE ERVÁLIA</t>
  </si>
  <si>
    <t>ELOÍSIO ANTÔNIO DE CASTRO</t>
  </si>
  <si>
    <t>JOSÉ MARIA NOVATO</t>
  </si>
  <si>
    <t>LIMA DUARTE</t>
  </si>
  <si>
    <t>PREFEITURA MUNICIPAL DE LIMA DUARTE</t>
  </si>
  <si>
    <t>PREFEITA MUNICIPAL DE LIMA DUARTE</t>
  </si>
  <si>
    <t>ELENICE PEREIRA DELGADO SANTELLI</t>
  </si>
  <si>
    <t>MATIAS BARBOSA</t>
  </si>
  <si>
    <t>PREFEITURA MUNICIPAL DE MATIAS BARBOSA</t>
  </si>
  <si>
    <t>PREFEITO MUNICIPAL DE MATIAS BARBOSA</t>
  </si>
  <si>
    <t>CARLOS ROBERTO MENDES LOPES</t>
  </si>
  <si>
    <t>OLIVEIRA FORTES</t>
  </si>
  <si>
    <t>PREFEITURA MUNICIPAL DE OLIVEIRA FORTES</t>
  </si>
  <si>
    <t>PREFEITO MUNICIPAL DE OLIVEIRA FORTES</t>
  </si>
  <si>
    <t>ANTÔNIO CARLOS DE OLIVEIRA</t>
  </si>
  <si>
    <t>PIRAPETINGA</t>
  </si>
  <si>
    <t>PREFEITURA MUNICIPAL DE PIRAPETINGA</t>
  </si>
  <si>
    <t>PREFEITO MUNICIPAL DE PIRAPETINGA</t>
  </si>
  <si>
    <t>LUIZ HENRIQUE PEREIRA DA COSTA</t>
  </si>
  <si>
    <t>RODEIRO</t>
  </si>
  <si>
    <t>PREFEITURA MUNICIPAL DE RODEIRO</t>
  </si>
  <si>
    <t>PREFEITO MUNICIPAL DE RODEIRO</t>
  </si>
  <si>
    <t>JOSÉ CARLOS FERREIRA</t>
  </si>
  <si>
    <t>SANTA BARBARA DO MONTE VERDE</t>
  </si>
  <si>
    <t>FÁBIO NOGUEIRA MACHADO</t>
  </si>
  <si>
    <t>SANTA RITA DE JACUTINGA</t>
  </si>
  <si>
    <t>PREFEITURA MUNICIPAL DE SANTA RITA DE JACUTINGA</t>
  </si>
  <si>
    <t>PREFEITO MUNICIPAL DE SANTA RITA DE JACUTINGA</t>
  </si>
  <si>
    <t>ALEXSANDRO LANDIM NOGUEIRA</t>
  </si>
  <si>
    <t>SANTOS DUMONT</t>
  </si>
  <si>
    <t>PREFEITURA MUNICIPAL DE SANTOS DUMONT</t>
  </si>
  <si>
    <t>PREFEITO MUNICIPAL DE SANTOS DUMONT</t>
  </si>
  <si>
    <t>CARLOS ALBERTO DE AZEVEDO</t>
  </si>
  <si>
    <t>VALENÇA</t>
  </si>
  <si>
    <t>PREFEITURA MUNICIPAL DE VALENÇA</t>
  </si>
  <si>
    <t>PREFEITO MUNICIPAL DE VALENÇA</t>
  </si>
  <si>
    <t>LUIZ FERNANDO FURTADO DA GRAÇA</t>
  </si>
  <si>
    <t>PREFEITURA</t>
  </si>
  <si>
    <t>PREFEITO (CARGO)</t>
  </si>
  <si>
    <t>NOME PREFEITO</t>
  </si>
  <si>
    <t>CONSTRUÇÃO DE EDIFÍCIOS</t>
  </si>
  <si>
    <t xml:space="preserve">CONSTRUÇÃO DE RODOVIAS E FERROVIAS </t>
  </si>
  <si>
    <t xml:space="preserve">CONSTRUÇÃO DE MANUNTEÇÃO DE ESTAÇÕES E REDES DE DISTRIBUIÇÃO DE ENERGIA ELÉTRICA </t>
  </si>
  <si>
    <t>OBRAS PORTUÁRIAS, MARÍTIMAS
E FLUVIAIS</t>
  </si>
  <si>
    <t xml:space="preserve">CONSTRUÇÃO DE REDES DE ABASTECIMENTO DE ÁGUA, COLETA DE ESGOTO E CONSTRUÇÕES CORRELATAS </t>
  </si>
  <si>
    <t>FORNECIMENTO DE MATERIAIS E EQUIPAMENTOS</t>
  </si>
  <si>
    <t>TIPO DE OBRA:</t>
  </si>
  <si>
    <t>NÃO DESONERADO</t>
  </si>
  <si>
    <t>DESONERADO</t>
  </si>
  <si>
    <t>Local</t>
  </si>
  <si>
    <t>NOME DO MUNICÍPIO PARA BDI</t>
  </si>
  <si>
    <t>Além Paraíba - MG</t>
  </si>
  <si>
    <t>Andrelândia - MG</t>
  </si>
  <si>
    <t>Aracitaba - MG</t>
  </si>
  <si>
    <t>Cataguases - MG</t>
  </si>
  <si>
    <t>Ervália - MG</t>
  </si>
  <si>
    <t>Pirapetinga - MG</t>
  </si>
  <si>
    <t>Rodeiro - MG</t>
  </si>
  <si>
    <t>Astolfo Dutra - MG</t>
  </si>
  <si>
    <t>Belmiro Braga - MG</t>
  </si>
  <si>
    <t>Ewbank da Câmara - MG</t>
  </si>
  <si>
    <t>Lima Duarte - MG</t>
  </si>
  <si>
    <t>Matias Barbosa - MG</t>
  </si>
  <si>
    <t>Oliveira Fortes - MG</t>
  </si>
  <si>
    <t>Santa Bárbara do Monte Verde - MG</t>
  </si>
  <si>
    <t>Santa Rita de Jacutinga - MG</t>
  </si>
  <si>
    <t>Santos Dumont - MG</t>
  </si>
  <si>
    <t>Valença - RJ</t>
  </si>
  <si>
    <t>Data</t>
  </si>
  <si>
    <t>SERVIÇO</t>
  </si>
  <si>
    <t>NÍVEL 1</t>
  </si>
  <si>
    <t>NÍVEL 2</t>
  </si>
  <si>
    <t>NÍVEL 3</t>
  </si>
  <si>
    <t>ADOTADO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</si>
  <si>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</si>
  <si>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</si>
  <si>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SINAPI</t>
  </si>
  <si>
    <t>ED-51131</t>
  </si>
  <si>
    <t>CARGA MANUAL DE MATERIAL DE QUALQUER NATUREZA SOBRE CAMINHÃO, EXCLUSIVE TRANSPORTE</t>
  </si>
  <si>
    <t>ED-29232</t>
  </si>
  <si>
    <t>TRANSPORTE DE MATERIAL DE QUALQUER NATUREZA EM CAMINHÃO, DISTÂNCIA MAIOR QUE 5KM E MENOR OU IGUAL A 10KM, DENTRO DO PERÍMETRO URBANO, EXCLUSIVE CARGA, INCLUSIVE DESCARGA</t>
  </si>
  <si>
    <t>M3xKM</t>
  </si>
  <si>
    <t>CHAPISCO COM ARGAMASSA, TRAÇO 1:3 (CIMENTO E AREIA), ESP. 5MM, APLICADO EM ALVENARIA/ESTRUTURA DE CONCRETO COM COLHER, INCLUSIVE ARGAMASSA COM PREPARO MECANIZADO</t>
  </si>
  <si>
    <t>PISOS</t>
  </si>
  <si>
    <t>PORTA DE MADEIRA COMPLETA, DIMENSÃO (90X210)CM, TIPO DE ABRIR, UMA (1) FOLHA, ACABAMENTO NATURAL PARA PINTURA/VERNIZ, TIPO PRANCHETA/SARRAFEADA, INCLUSIVE MARCO, ALIZAR E FERRAGENS, EXCLUSIVE PINTURA/VERNIZ</t>
  </si>
  <si>
    <t>BOM JARDIM DE MINAS</t>
  </si>
  <si>
    <t>PREFEITURA MUNICIPAL DE BOM JARDIM DE MINAS</t>
  </si>
  <si>
    <t>PREFEITO MUNICIPAL DE BOM JARDIM DE MINAS</t>
  </si>
  <si>
    <t>JOSÉ FRANCISCO MATOS E SILVA</t>
  </si>
  <si>
    <t>Bom Jardim de Minas - MG</t>
  </si>
  <si>
    <t xml:space="preserve">REFERÊNCIA: </t>
  </si>
  <si>
    <t>____________________________________________</t>
  </si>
  <si>
    <t>LISTA DE ENGENHEIROS</t>
  </si>
  <si>
    <t>CREA</t>
  </si>
  <si>
    <t>CREA-MG 351.037/D</t>
  </si>
  <si>
    <t>CREA-MG 216.289/D</t>
  </si>
  <si>
    <t>CREA-MG 59.552/D</t>
  </si>
  <si>
    <t>Reinaldo Brum de Souza</t>
  </si>
  <si>
    <t>Leonardo Gielo Rocha</t>
  </si>
  <si>
    <t>CREA/MG 284.850/D</t>
  </si>
  <si>
    <t>Naíra Gaudereto Laurindo</t>
  </si>
  <si>
    <t>CREA-MG 343.982/D</t>
  </si>
  <si>
    <t>Denealber Leite Oliveira</t>
  </si>
  <si>
    <t>EWBANK DA CÂMARA</t>
  </si>
  <si>
    <t>PREFEITURA MUNICIPAL DE EWBANK DA CÂMARA</t>
  </si>
  <si>
    <t>PREFEITO MUNICIPAL DE EWBANK DA CÂMARA</t>
  </si>
  <si>
    <t>PREFEITURA MUNICIPAL DE ALÉM PARAÍBA</t>
  </si>
  <si>
    <t>PREFEITO MUNICIPAL DE ALÉM PARAÍBA</t>
  </si>
  <si>
    <t>PREFEITURA MUNICIPAL DE SANTA BÁRBARA DO MONTE VERDE</t>
  </si>
  <si>
    <t>PREFEITO MUNICIPAL DE SANTA BÁRBARA DO MONTE VERDE</t>
  </si>
  <si>
    <t>TABULEIRO</t>
  </si>
  <si>
    <t>PREFEITURA MUNICIPAL DE TABULEIRO</t>
  </si>
  <si>
    <t>PREFEITO MUNICIPAL DE TABULEIRO</t>
  </si>
  <si>
    <t>Tabuleiro - MG</t>
  </si>
  <si>
    <t>AILTON FERRAZ</t>
  </si>
  <si>
    <t>SICOR</t>
  </si>
  <si>
    <t>ED-49936</t>
  </si>
  <si>
    <t>CAIXA D´ÁGUA DE POLIETILENO, CAPACIDADE DE 1.000L, INCLUSIVE TAMPA, TORNEIRA DE BOIA, EXTRAVASOR, TUBO DE LIMPEZA E ACESSÓRIOS, EXCLUSIVE TUBULAÇÃO DE ENTRADA/SAÍDA DE ÁGUA</t>
  </si>
  <si>
    <t>97644</t>
  </si>
  <si>
    <t>REMOÇÃO DE PORTAS, DE FORMA MANUAL, SEM REAPROVEITAMENTO. AF_09/2023</t>
  </si>
  <si>
    <t>ED-48501</t>
  </si>
  <si>
    <t>DEMOLIÇÃO MANUAL DE REBOCO OU EMBOÇO, COM ESPESSURA DE ATÉ 55MM, INCLUSIVE AFASTAMENTO E EMPILHAMENTO, EXCLUSIVE TRANSPORTE E RETIRADA DO MATERIAL DEMOLIDO</t>
  </si>
  <si>
    <t>ED-48460</t>
  </si>
  <si>
    <t>REMOÇÃO MANUAL DE FORRO DE PLACAS (GESSO, MINERAL, FIBRA, ISOPOR, COLMEIA, PVC, ETC.), COM REAPROVEITAMENTO, INCLUSIVE AFASTAMENTO E EMPILHAMENTO, EXCLUSIVE DEMOLIÇÃO DA ESTRUTURA DE SUSTENTAÇÃO, TRANSPORTE E RETIRADA DO MATERIAL REMOVIDO NÃO REAPROVEITÁVEL</t>
  </si>
  <si>
    <t>ED-50506</t>
  </si>
  <si>
    <t>LIXAMENTO MANUAL EM TETO PARA REMOÇÃO DE TINTA</t>
  </si>
  <si>
    <t>ED-48481</t>
  </si>
  <si>
    <t>DEMOLIÇÃO MANUAL DE PISO DE PEDRAS (MÁRMORE, GRANITO, ARDÓSIA, ETC.), INCLUSIVE AFASTAMENTO E EMPILHAMENTO, EXCLUSIVE DEMOLIÇÃO DE CONTRAPISO, TRANSPORTE E RETIRADA DO MATERIAL DEMOLIDO</t>
  </si>
  <si>
    <t>ED-48503</t>
  </si>
  <si>
    <t>DEMOLIÇÃO MANUAL DE REVESTIMENTO DE PEDRA (MÁRMORE, GRANITO, ARDÓSIA, ETC.), INCLUSIVE AFASTAMENTO E EMPILHAMENTO, EXCLUSIVE DEMOLIÇÃO DO REBOCO OU EMBOÇO, TRANSPORTE E RETIRADA DO MATERIAL DEMOLIDO</t>
  </si>
  <si>
    <t>9,07</t>
  </si>
  <si>
    <t>ED-50761</t>
  </si>
  <si>
    <t>REBOCO COM ARGAMASSA, TRAÇO 1:2:8 (CIMENTO, CAL E AREIA), ESP. 20MM, APLICAÇÃO MANUAL, INCLUSIVE ARGAMASSA COM PREPARO MECANIZADO, EXCLUSIVE CHAPISCO</t>
  </si>
  <si>
    <t>96485</t>
  </si>
  <si>
    <t>FORRO EM RÉGUAS DE PVC, LISO, PARA AMBIENTES RESIDENCIAIS, INCLUSIVE ESTRUTURA UNIDIRECIONAL DE FIXAÇÃO. AF_08/2023_PS</t>
  </si>
  <si>
    <t>73,95</t>
  </si>
  <si>
    <t>MERCADO</t>
  </si>
  <si>
    <t>-</t>
  </si>
  <si>
    <t>2.1</t>
  </si>
  <si>
    <t>3.1</t>
  </si>
  <si>
    <t>3.2</t>
  </si>
  <si>
    <t>4.1</t>
  </si>
  <si>
    <t>4.2</t>
  </si>
  <si>
    <t>5.1</t>
  </si>
  <si>
    <t>6.1</t>
  </si>
  <si>
    <t>7.1</t>
  </si>
  <si>
    <t>7.2</t>
  </si>
  <si>
    <t>7.4</t>
  </si>
  <si>
    <t>7.5</t>
  </si>
  <si>
    <t>SICOR LESTE - JANEIRO/2024</t>
  </si>
  <si>
    <t>SINAPI MG - MARÇO/2024</t>
  </si>
  <si>
    <t>ED-50505</t>
  </si>
  <si>
    <t>LIXAMENTO MANUAL EM PAREDE PARA REMOÇÃO DE TINTA</t>
  </si>
  <si>
    <t>2.2</t>
  </si>
  <si>
    <t>7.6</t>
  </si>
  <si>
    <t>SERVIÇO DE MANUTENÇÃO DO TELHADO, INCLUSIVE TODOS OS MATERIAS E MÃO DE OBRA  NECESSARIAS PARA A EXECUÇÃO DO SERVIÇO</t>
  </si>
  <si>
    <t>SERVIÇO DE REPARO NA PARTE ELÉTRICA, INCLUSIVE TODOS OS MATERIAS E MÃO DE OBRA NECESSARIA PARA A EXECUÇÃO DO SERVIÇO</t>
  </si>
  <si>
    <t>7.3</t>
  </si>
  <si>
    <t>ADMINISTRAÇÃO  LOCAL DE OBRA</t>
  </si>
  <si>
    <t>90778</t>
  </si>
  <si>
    <t>ENGENHEIRO CIVIL DE OBRA PLENO COM ENCARGOS COMPLEMENTARES</t>
  </si>
  <si>
    <t>H</t>
  </si>
  <si>
    <t>93572</t>
  </si>
  <si>
    <t>ENCARREGADO GERAL DE OBRAS COM ENCARGOS COMPLEMENTARES</t>
  </si>
  <si>
    <t>MES</t>
  </si>
  <si>
    <t>8.761,04</t>
  </si>
  <si>
    <t>121,99</t>
  </si>
  <si>
    <t>96620</t>
  </si>
  <si>
    <t>LASTRO DE CONCRETO MAGRO, APLICADO EM PISOS, LAJES SOBRE SOLO OU RADIERS. AF_01/2024</t>
  </si>
  <si>
    <t>737,11</t>
  </si>
  <si>
    <t>3.3</t>
  </si>
  <si>
    <t>3.4</t>
  </si>
  <si>
    <t>3.5</t>
  </si>
  <si>
    <t>3.6</t>
  </si>
  <si>
    <t>3.7</t>
  </si>
  <si>
    <t>5.2</t>
  </si>
  <si>
    <t>5.3</t>
  </si>
  <si>
    <t>5.4</t>
  </si>
  <si>
    <t>7.7</t>
  </si>
  <si>
    <t>8.1</t>
  </si>
  <si>
    <t>8.2</t>
  </si>
  <si>
    <t>8.3</t>
  </si>
  <si>
    <t>8.4</t>
  </si>
  <si>
    <t>8.5</t>
  </si>
  <si>
    <t>8.6</t>
  </si>
  <si>
    <t xml:space="preserve">MEMÓRIA DE CÁLCULO </t>
  </si>
  <si>
    <t>0,9*2,1</t>
  </si>
  <si>
    <t>4,49*2,83-(0,6*2,1+0,6*0,6)+4*1+72</t>
  </si>
  <si>
    <t>29,75+11,6+47,42</t>
  </si>
  <si>
    <t>22,91*1,2-(0,7*2,1+2*1,2*1,5+1,5*1,5)</t>
  </si>
  <si>
    <t>20,67+29,75+11,6+47,42</t>
  </si>
  <si>
    <t>4,49*2,83-(0,6*2,1+0,6*0,6)+4*1+72+22,91*1,2-(0,7*2,1+2*1,2*1,5+1,5*1,5)</t>
  </si>
  <si>
    <t>0,9*2,1*0,15+4,49*2,83-(0,6*2,1+0,6*0,6)+4*1+72*0,05+29,75+11,6+47,42*0,10+22,91*1,2-(0,7*2,1+2*1,2*1,5+1,5*1,5)*0,10+20,67+29,75+11,6+47,42*0,05</t>
  </si>
  <si>
    <t>0,9*2,1*0,15+4,49*2,83-(0,6*2,1+0,6*0,6)+4*1+72*0,05+29,75+11,6+47,42*0,10+22,91*1,2-(0,7*2,1+2*1,2*1,5+1,5*1,5)*0,10+20,67+29,75+11,6+47,42*0,05*10</t>
  </si>
  <si>
    <t>21,9-1,1-0,8+13,84-0,7+27,86-1,1-0,85</t>
  </si>
  <si>
    <t>15,6+31,78+8,59+1,13+29,52+11,14+1,37*9,63</t>
  </si>
  <si>
    <t>1,3*3,8+25,74*3-(1,8*1,5+1*2,1)+21,48*2,83-(1,2*1,5+0,7*2,1)+23,1*1,73-(2*1,18*1,5+2*1,5+0,7*2,1)+12,84*2,83-(1,55*1,5+0,7*2,1)+1,37*9,63-(0,6*2,1+3*0,7*2,1+2*1,5)+21,9*2,83-(0,8*2,1+1,1*2,1+1,8*1,5)+39,54*2-(3*1,2*1,5+0,8*2,1+0,7*2,1+0,5*2,1+2*1+0,9*2,1)+22,92*2,7-(1,5*1,5+2*1,2*1,5+0,7*2,1)+14,16*2,6-(0,5*2,1+1*1,5)+9,7*2,7-(0,55*2,1)+27,86*2,8-(0,85*2,1+1,1*2,1+2*2*1,5+0,55*1,2)+13,84*3,82-(0,7*2,1+1,1*1,5)+84,89*2,8-(0,6*2,1+2*1,5*1,5+1*1,5+0,55*2,1+2*2*1,5+0,55*1+2*1,1*2,1+1,1*1,5+2*1,8*1,5+1*2,1+1,2*1,5+2*1,18*1,5+1,55*1,5+0,6*0,6)+14,63*1,3+1,68*4*3,8+G18+15,35*3-(0,6*2,1+1*2,1+0,9*2,1)+2,85*3-(2,85*2,1)+25,14*2,3-(1*2,1)+60,36*1,7+9,6*1,5-(2*0,6*0,6)+10,09*1,5-(2*0*60*60)</t>
  </si>
  <si>
    <t>7+15,6+15,8+101,45</t>
  </si>
  <si>
    <t>0,6*2,1+0,8*2,1+4*1,2*1,5+3*2*1,5+2*1,8*1,5+2*1,18*1,5+2*1,5*1,5+1,55*1,5+1*1,5+0,55*0,6+5*0,6*0,6+1*2,1</t>
  </si>
  <si>
    <t>20,67+29,75+11,6+47,42+1,87+1,88+20,59+2,18+2,11</t>
  </si>
  <si>
    <t>SERVIÇO DE REPARO NA PARTE HIDRÁULICA , INCLUSIVE TODOS OS MATERIAS E MÃO DE OBRA NECESSARIA PARA A EXECUÇÃO DO SERVIÇO</t>
  </si>
  <si>
    <t>SERVIÇO DE REPARO NA PARTE HIDRÁULICA, INCLUSIVE TODOS OS MATERIAS E MÃO DE OBRA NECESSARIA PARA A EXECUÇÃO DO SERVIÇO</t>
  </si>
  <si>
    <t>(1*2,1+6*0,7*2,1+0,6*2,1+0,5*2,1+0,55*2,1+2*0,8*2,1+1,1*2,1+0,9*2,1)*2</t>
  </si>
  <si>
    <t>REFORMA DE EDIFICAÇÃO ESCOLAR</t>
  </si>
  <si>
    <t xml:space="preserve">DISTRITO DE FORMOSO </t>
  </si>
</sst>
</file>

<file path=xl/styles.xml><?xml version="1.0" encoding="utf-8"?>
<styleSheet xmlns="http://schemas.openxmlformats.org/spreadsheetml/2006/main">
  <numFmts count="5">
    <numFmt numFmtId="164" formatCode="_-&quot;R$ &quot;* #,##0.00_-;&quot;-R$ &quot;* #,##0.00_-;_-&quot;R$ &quot;* \-??_-;_-@_-"/>
    <numFmt numFmtId="165" formatCode="_-* #,##0.00_-;\-* #,##0.00_-;_-* \-??_-;_-@_-"/>
    <numFmt numFmtId="166" formatCode="_(\$* #,##0.00_);_(\$* \(#,##0.00\);_(\$* \-??_);_(@_)"/>
    <numFmt numFmtId="167" formatCode="&quot;R$&quot;\ #,##0.00"/>
    <numFmt numFmtId="168" formatCode="[$-F800]dddd\,\ mmmm\ dd\,\ yyyy"/>
  </numFmts>
  <fonts count="47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0.5"/>
      <color indexed="8"/>
      <name val="Calibri"/>
      <family val="2"/>
      <scheme val="minor"/>
    </font>
    <font>
      <sz val="8"/>
      <name val="Calibri"/>
      <family val="2"/>
    </font>
    <font>
      <sz val="11"/>
      <color rgb="FFFF0000"/>
      <name val="Calibri"/>
      <family val="2"/>
    </font>
    <font>
      <sz val="10.5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indexed="64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49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164" fontId="22" fillId="0" borderId="0" applyFill="0" applyBorder="0" applyAlignment="0" applyProtection="0"/>
    <xf numFmtId="0" fontId="8" fillId="22" borderId="0" applyNumberFormat="0" applyBorder="0" applyAlignment="0" applyProtection="0"/>
    <xf numFmtId="0" fontId="9" fillId="0" borderId="0"/>
    <xf numFmtId="0" fontId="22" fillId="23" borderId="4" applyNumberFormat="0" applyAlignment="0" applyProtection="0"/>
    <xf numFmtId="9" fontId="22" fillId="0" borderId="0" applyFill="0" applyBorder="0" applyAlignment="0" applyProtection="0"/>
    <xf numFmtId="9" fontId="22" fillId="0" borderId="0" applyFill="0" applyBorder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3" fillId="0" borderId="9" applyNumberFormat="0" applyFill="0" applyAlignment="0" applyProtection="0"/>
    <xf numFmtId="165" fontId="22" fillId="0" borderId="0" applyFill="0" applyBorder="0" applyAlignment="0" applyProtection="0"/>
    <xf numFmtId="165" fontId="22" fillId="0" borderId="0" applyFill="0" applyBorder="0" applyAlignment="0" applyProtection="0"/>
    <xf numFmtId="166" fontId="22" fillId="0" borderId="0" applyFill="0" applyBorder="0" applyAlignment="0" applyProtection="0"/>
  </cellStyleXfs>
  <cellXfs count="213">
    <xf numFmtId="0" fontId="0" fillId="0" borderId="0" xfId="0"/>
    <xf numFmtId="0" fontId="9" fillId="0" borderId="0" xfId="33"/>
    <xf numFmtId="0" fontId="21" fillId="0" borderId="0" xfId="33" applyFont="1"/>
    <xf numFmtId="0" fontId="0" fillId="0" borderId="0" xfId="0" applyAlignment="1">
      <alignment horizontal="center"/>
    </xf>
    <xf numFmtId="0" fontId="25" fillId="0" borderId="0" xfId="33" applyFont="1"/>
    <xf numFmtId="0" fontId="25" fillId="0" borderId="0" xfId="0" applyFont="1"/>
    <xf numFmtId="0" fontId="23" fillId="0" borderId="0" xfId="33" applyFont="1"/>
    <xf numFmtId="0" fontId="13" fillId="0" borderId="0" xfId="0" applyFont="1"/>
    <xf numFmtId="0" fontId="25" fillId="0" borderId="13" xfId="0" applyFont="1" applyBorder="1" applyAlignment="1">
      <alignment horizontal="center" vertical="center"/>
    </xf>
    <xf numFmtId="165" fontId="25" fillId="0" borderId="15" xfId="0" applyNumberFormat="1" applyFont="1" applyBorder="1" applyAlignment="1">
      <alignment horizontal="center" vertical="center"/>
    </xf>
    <xf numFmtId="49" fontId="25" fillId="0" borderId="13" xfId="0" applyNumberFormat="1" applyFont="1" applyBorder="1" applyAlignment="1">
      <alignment horizontal="center" vertical="center"/>
    </xf>
    <xf numFmtId="165" fontId="25" fillId="0" borderId="16" xfId="0" applyNumberFormat="1" applyFont="1" applyBorder="1" applyAlignment="1">
      <alignment horizontal="center" vertical="center"/>
    </xf>
    <xf numFmtId="0" fontId="25" fillId="0" borderId="13" xfId="33" applyFont="1" applyBorder="1" applyAlignment="1">
      <alignment horizontal="center" vertical="center" wrapText="1"/>
    </xf>
    <xf numFmtId="165" fontId="25" fillId="0" borderId="12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13" xfId="0" applyFont="1" applyBorder="1" applyAlignment="1">
      <alignment vertical="center"/>
    </xf>
    <xf numFmtId="0" fontId="27" fillId="0" borderId="13" xfId="0" applyFont="1" applyBorder="1" applyAlignment="1">
      <alignment horizontal="right" vertical="center"/>
    </xf>
    <xf numFmtId="0" fontId="18" fillId="0" borderId="0" xfId="0" applyFont="1" applyAlignment="1">
      <alignment vertical="center" readingOrder="1"/>
    </xf>
    <xf numFmtId="0" fontId="19" fillId="0" borderId="0" xfId="0" applyFont="1" applyAlignment="1">
      <alignment vertical="center" readingOrder="1"/>
    </xf>
    <xf numFmtId="0" fontId="27" fillId="0" borderId="10" xfId="0" applyFont="1" applyBorder="1" applyAlignment="1">
      <alignment vertical="center"/>
    </xf>
    <xf numFmtId="0" fontId="27" fillId="0" borderId="10" xfId="0" applyFont="1" applyBorder="1" applyAlignment="1">
      <alignment horizontal="right" vertical="center"/>
    </xf>
    <xf numFmtId="0" fontId="23" fillId="0" borderId="0" xfId="33" applyFont="1" applyAlignment="1">
      <alignment horizontal="left"/>
    </xf>
    <xf numFmtId="10" fontId="25" fillId="0" borderId="13" xfId="0" applyNumberFormat="1" applyFont="1" applyBorder="1" applyAlignment="1">
      <alignment horizontal="center" vertical="center" wrapText="1"/>
    </xf>
    <xf numFmtId="10" fontId="25" fillId="0" borderId="13" xfId="0" applyNumberFormat="1" applyFont="1" applyBorder="1" applyAlignment="1">
      <alignment horizontal="center" vertical="center"/>
    </xf>
    <xf numFmtId="9" fontId="25" fillId="0" borderId="14" xfId="35" applyFont="1" applyFill="1" applyBorder="1" applyAlignment="1" applyProtection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 readingOrder="1"/>
    </xf>
    <xf numFmtId="164" fontId="25" fillId="0" borderId="13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64" fontId="25" fillId="0" borderId="14" xfId="0" applyNumberFormat="1" applyFont="1" applyBorder="1" applyAlignment="1">
      <alignment horizontal="center" vertical="center"/>
    </xf>
    <xf numFmtId="4" fontId="25" fillId="0" borderId="13" xfId="0" applyNumberFormat="1" applyFont="1" applyBorder="1" applyAlignment="1">
      <alignment horizontal="center" vertical="center"/>
    </xf>
    <xf numFmtId="4" fontId="25" fillId="0" borderId="13" xfId="46" applyNumberFormat="1" applyFont="1" applyFill="1" applyBorder="1" applyAlignment="1" applyProtection="1">
      <alignment horizontal="center" vertical="center"/>
    </xf>
    <xf numFmtId="10" fontId="27" fillId="0" borderId="13" xfId="0" applyNumberFormat="1" applyFont="1" applyBorder="1" applyAlignment="1">
      <alignment horizontal="center" vertical="center"/>
    </xf>
    <xf numFmtId="10" fontId="27" fillId="0" borderId="13" xfId="46" applyNumberFormat="1" applyFont="1" applyFill="1" applyBorder="1" applyAlignment="1" applyProtection="1">
      <alignment horizontal="center" vertical="center"/>
    </xf>
    <xf numFmtId="167" fontId="27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1" fillId="0" borderId="10" xfId="0" applyFont="1" applyBorder="1" applyAlignment="1">
      <alignment horizontal="center" vertical="center"/>
    </xf>
    <xf numFmtId="0" fontId="32" fillId="0" borderId="0" xfId="0" applyFont="1"/>
    <xf numFmtId="10" fontId="33" fillId="24" borderId="10" xfId="35" applyNumberFormat="1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10" fontId="32" fillId="0" borderId="10" xfId="35" applyNumberFormat="1" applyFont="1" applyBorder="1"/>
    <xf numFmtId="10" fontId="28" fillId="24" borderId="10" xfId="35" applyNumberFormat="1" applyFont="1" applyFill="1" applyBorder="1" applyAlignment="1">
      <alignment horizontal="center" vertical="center"/>
    </xf>
    <xf numFmtId="0" fontId="33" fillId="0" borderId="0" xfId="0" applyFont="1"/>
    <xf numFmtId="0" fontId="31" fillId="0" borderId="0" xfId="0" applyFont="1"/>
    <xf numFmtId="0" fontId="26" fillId="0" borderId="20" xfId="0" applyFont="1" applyBorder="1" applyAlignment="1">
      <alignment horizontal="center" vertical="center" wrapText="1"/>
    </xf>
    <xf numFmtId="4" fontId="35" fillId="0" borderId="10" xfId="46" applyNumberFormat="1" applyFont="1" applyBorder="1" applyAlignment="1">
      <alignment horizontal="center" vertical="center" wrapText="1"/>
    </xf>
    <xf numFmtId="1" fontId="35" fillId="0" borderId="10" xfId="33" applyNumberFormat="1" applyFont="1" applyBorder="1" applyAlignment="1">
      <alignment horizontal="center" vertical="center" wrapText="1"/>
    </xf>
    <xf numFmtId="0" fontId="35" fillId="0" borderId="10" xfId="33" applyFont="1" applyBorder="1" applyAlignment="1">
      <alignment horizontal="center" vertical="center" wrapText="1"/>
    </xf>
    <xf numFmtId="0" fontId="35" fillId="0" borderId="10" xfId="33" applyFont="1" applyBorder="1" applyAlignment="1">
      <alignment horizontal="left" vertical="center" wrapText="1"/>
    </xf>
    <xf numFmtId="4" fontId="35" fillId="0" borderId="10" xfId="46" applyNumberFormat="1" applyFont="1" applyFill="1" applyBorder="1" applyAlignment="1" applyProtection="1">
      <alignment horizontal="center" vertical="center" wrapText="1"/>
    </xf>
    <xf numFmtId="1" fontId="34" fillId="25" borderId="10" xfId="33" applyNumberFormat="1" applyFont="1" applyFill="1" applyBorder="1" applyAlignment="1">
      <alignment horizontal="center" vertical="center" wrapText="1"/>
    </xf>
    <xf numFmtId="0" fontId="34" fillId="25" borderId="10" xfId="33" applyFont="1" applyFill="1" applyBorder="1" applyAlignment="1">
      <alignment horizontal="center" vertical="center" wrapText="1"/>
    </xf>
    <xf numFmtId="0" fontId="34" fillId="25" borderId="10" xfId="33" applyFont="1" applyFill="1" applyBorder="1" applyAlignment="1">
      <alignment vertical="center" wrapText="1"/>
    </xf>
    <xf numFmtId="4" fontId="34" fillId="25" borderId="10" xfId="33" applyNumberFormat="1" applyFont="1" applyFill="1" applyBorder="1" applyAlignment="1">
      <alignment horizontal="center" vertical="center" wrapText="1"/>
    </xf>
    <xf numFmtId="4" fontId="35" fillId="26" borderId="10" xfId="46" applyNumberFormat="1" applyFont="1" applyFill="1" applyBorder="1" applyAlignment="1">
      <alignment horizontal="center" vertical="center" wrapText="1"/>
    </xf>
    <xf numFmtId="4" fontId="34" fillId="25" borderId="10" xfId="46" applyNumberFormat="1" applyFont="1" applyFill="1" applyBorder="1" applyAlignment="1" applyProtection="1">
      <alignment horizontal="center" vertical="center" wrapText="1"/>
    </xf>
    <xf numFmtId="0" fontId="36" fillId="27" borderId="12" xfId="33" applyFont="1" applyFill="1" applyBorder="1" applyAlignment="1">
      <alignment horizontal="center" vertical="center"/>
    </xf>
    <xf numFmtId="0" fontId="36" fillId="27" borderId="12" xfId="33" applyFont="1" applyFill="1" applyBorder="1" applyAlignment="1">
      <alignment horizontal="center" vertical="center" wrapText="1"/>
    </xf>
    <xf numFmtId="0" fontId="32" fillId="0" borderId="17" xfId="0" applyFont="1" applyBorder="1"/>
    <xf numFmtId="0" fontId="0" fillId="0" borderId="21" xfId="0" applyBorder="1" applyAlignment="1">
      <alignment vertical="center"/>
    </xf>
    <xf numFmtId="2" fontId="0" fillId="0" borderId="0" xfId="0" applyNumberFormat="1" applyAlignment="1">
      <alignment vertical="center"/>
    </xf>
    <xf numFmtId="0" fontId="37" fillId="0" borderId="22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38" fillId="0" borderId="22" xfId="0" applyFont="1" applyBorder="1" applyAlignment="1">
      <alignment vertical="top"/>
    </xf>
    <xf numFmtId="0" fontId="25" fillId="0" borderId="0" xfId="0" applyFont="1" applyAlignment="1">
      <alignment vertical="top"/>
    </xf>
    <xf numFmtId="0" fontId="0" fillId="0" borderId="0" xfId="0" applyAlignment="1">
      <alignment vertical="top"/>
    </xf>
    <xf numFmtId="2" fontId="0" fillId="0" borderId="0" xfId="0" applyNumberFormat="1" applyAlignment="1">
      <alignment vertical="top"/>
    </xf>
    <xf numFmtId="0" fontId="25" fillId="0" borderId="18" xfId="0" applyFont="1" applyBorder="1" applyAlignment="1">
      <alignment vertical="center"/>
    </xf>
    <xf numFmtId="0" fontId="25" fillId="0" borderId="18" xfId="0" applyFont="1" applyBorder="1" applyAlignment="1">
      <alignment vertical="top"/>
    </xf>
    <xf numFmtId="0" fontId="38" fillId="0" borderId="23" xfId="0" applyFont="1" applyBorder="1" applyAlignment="1">
      <alignment vertical="top"/>
    </xf>
    <xf numFmtId="0" fontId="25" fillId="0" borderId="24" xfId="0" applyFont="1" applyBorder="1" applyAlignment="1">
      <alignment vertical="top"/>
    </xf>
    <xf numFmtId="0" fontId="25" fillId="0" borderId="25" xfId="0" applyFont="1" applyBorder="1" applyAlignment="1">
      <alignment vertical="top"/>
    </xf>
    <xf numFmtId="0" fontId="24" fillId="0" borderId="26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10" fontId="22" fillId="0" borderId="27" xfId="35" applyNumberFormat="1" applyBorder="1" applyAlignment="1">
      <alignment vertical="center"/>
    </xf>
    <xf numFmtId="10" fontId="22" fillId="0" borderId="28" xfId="35" applyNumberFormat="1" applyBorder="1" applyAlignment="1">
      <alignment vertical="center"/>
    </xf>
    <xf numFmtId="0" fontId="31" fillId="0" borderId="29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10" fontId="32" fillId="0" borderId="27" xfId="35" applyNumberFormat="1" applyFont="1" applyBorder="1"/>
    <xf numFmtId="10" fontId="32" fillId="0" borderId="30" xfId="35" applyNumberFormat="1" applyFont="1" applyBorder="1"/>
    <xf numFmtId="10" fontId="32" fillId="0" borderId="28" xfId="35" applyNumberFormat="1" applyFont="1" applyBorder="1"/>
    <xf numFmtId="10" fontId="32" fillId="0" borderId="29" xfId="35" applyNumberFormat="1" applyFont="1" applyBorder="1"/>
    <xf numFmtId="10" fontId="32" fillId="0" borderId="31" xfId="35" applyNumberFormat="1" applyFont="1" applyBorder="1"/>
    <xf numFmtId="0" fontId="13" fillId="0" borderId="19" xfId="0" applyFont="1" applyBorder="1" applyAlignment="1">
      <alignment horizontal="center"/>
    </xf>
    <xf numFmtId="0" fontId="0" fillId="0" borderId="21" xfId="0" applyBorder="1"/>
    <xf numFmtId="0" fontId="0" fillId="0" borderId="33" xfId="0" applyBorder="1"/>
    <xf numFmtId="0" fontId="0" fillId="0" borderId="34" xfId="0" applyBorder="1"/>
    <xf numFmtId="0" fontId="0" fillId="0" borderId="24" xfId="0" applyBorder="1"/>
    <xf numFmtId="0" fontId="0" fillId="0" borderId="35" xfId="0" applyBorder="1"/>
    <xf numFmtId="168" fontId="33" fillId="0" borderId="0" xfId="0" applyNumberFormat="1" applyFont="1" applyAlignment="1">
      <alignment horizontal="left"/>
    </xf>
    <xf numFmtId="0" fontId="36" fillId="27" borderId="10" xfId="33" applyFont="1" applyFill="1" applyBorder="1" applyAlignment="1">
      <alignment horizontal="center" vertical="center" wrapText="1"/>
    </xf>
    <xf numFmtId="0" fontId="0" fillId="28" borderId="10" xfId="0" applyFill="1" applyBorder="1"/>
    <xf numFmtId="0" fontId="13" fillId="28" borderId="10" xfId="0" applyFont="1" applyFill="1" applyBorder="1" applyAlignment="1">
      <alignment horizontal="center" vertical="center"/>
    </xf>
    <xf numFmtId="167" fontId="0" fillId="28" borderId="10" xfId="0" applyNumberFormat="1" applyFill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32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0" fillId="0" borderId="0" xfId="0" applyProtection="1"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7" fillId="0" borderId="32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4" xfId="0" applyBorder="1" applyAlignment="1">
      <alignment vertical="top"/>
    </xf>
    <xf numFmtId="0" fontId="0" fillId="0" borderId="24" xfId="0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39" xfId="0" applyBorder="1" applyAlignment="1">
      <alignment vertical="center"/>
    </xf>
    <xf numFmtId="10" fontId="0" fillId="0" borderId="0" xfId="0" applyNumberFormat="1"/>
    <xf numFmtId="0" fontId="27" fillId="0" borderId="55" xfId="0" applyFont="1" applyBorder="1" applyAlignment="1">
      <alignment horizontal="center" vertical="center"/>
    </xf>
    <xf numFmtId="0" fontId="27" fillId="0" borderId="55" xfId="0" applyFont="1" applyBorder="1" applyAlignment="1">
      <alignment horizontal="center" vertical="center" wrapText="1"/>
    </xf>
    <xf numFmtId="0" fontId="27" fillId="0" borderId="56" xfId="0" applyFont="1" applyBorder="1" applyAlignment="1">
      <alignment horizontal="center" vertical="center"/>
    </xf>
    <xf numFmtId="0" fontId="25" fillId="0" borderId="44" xfId="0" applyFont="1" applyBorder="1"/>
    <xf numFmtId="0" fontId="25" fillId="0" borderId="44" xfId="0" applyFont="1" applyBorder="1" applyAlignment="1">
      <alignment horizontal="left" vertical="center" readingOrder="1"/>
    </xf>
    <xf numFmtId="0" fontId="27" fillId="29" borderId="54" xfId="0" applyFont="1" applyFill="1" applyBorder="1" applyAlignment="1">
      <alignment horizontal="center" vertical="center"/>
    </xf>
    <xf numFmtId="0" fontId="27" fillId="29" borderId="54" xfId="0" applyFont="1" applyFill="1" applyBorder="1" applyAlignment="1">
      <alignment horizontal="center" vertical="center" wrapText="1"/>
    </xf>
    <xf numFmtId="0" fontId="45" fillId="30" borderId="32" xfId="0" applyFont="1" applyFill="1" applyBorder="1"/>
    <xf numFmtId="0" fontId="45" fillId="30" borderId="22" xfId="0" applyFont="1" applyFill="1" applyBorder="1"/>
    <xf numFmtId="0" fontId="45" fillId="30" borderId="23" xfId="0" applyFont="1" applyFill="1" applyBorder="1"/>
    <xf numFmtId="0" fontId="45" fillId="30" borderId="0" xfId="0" applyFont="1" applyFill="1"/>
    <xf numFmtId="0" fontId="45" fillId="31" borderId="22" xfId="0" applyFont="1" applyFill="1" applyBorder="1"/>
    <xf numFmtId="10" fontId="33" fillId="0" borderId="27" xfId="35" applyNumberFormat="1" applyFont="1" applyBorder="1"/>
    <xf numFmtId="10" fontId="33" fillId="0" borderId="10" xfId="35" applyNumberFormat="1" applyFont="1" applyBorder="1"/>
    <xf numFmtId="0" fontId="25" fillId="0" borderId="57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/>
    </xf>
    <xf numFmtId="49" fontId="25" fillId="0" borderId="55" xfId="0" applyNumberFormat="1" applyFont="1" applyBorder="1" applyAlignment="1">
      <alignment horizontal="center" vertical="center"/>
    </xf>
    <xf numFmtId="0" fontId="25" fillId="0" borderId="58" xfId="33" applyFont="1" applyBorder="1" applyAlignment="1">
      <alignment horizontal="center" vertical="center" wrapText="1"/>
    </xf>
    <xf numFmtId="10" fontId="25" fillId="0" borderId="55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165" fontId="25" fillId="0" borderId="10" xfId="0" applyNumberFormat="1" applyFont="1" applyBorder="1" applyAlignment="1">
      <alignment horizontal="center" vertical="center"/>
    </xf>
    <xf numFmtId="164" fontId="25" fillId="0" borderId="10" xfId="0" applyNumberFormat="1" applyFont="1" applyBorder="1" applyAlignment="1">
      <alignment horizontal="center" vertical="center"/>
    </xf>
    <xf numFmtId="0" fontId="25" fillId="0" borderId="10" xfId="0" applyFont="1" applyBorder="1"/>
    <xf numFmtId="0" fontId="0" fillId="0" borderId="59" xfId="0" applyBorder="1" applyAlignment="1">
      <alignment vertical="center"/>
    </xf>
    <xf numFmtId="10" fontId="22" fillId="0" borderId="60" xfId="35" applyNumberFormat="1" applyBorder="1" applyAlignment="1">
      <alignment vertical="center"/>
    </xf>
    <xf numFmtId="0" fontId="29" fillId="0" borderId="22" xfId="0" applyFont="1" applyBorder="1" applyAlignment="1">
      <alignment vertical="top"/>
    </xf>
    <xf numFmtId="0" fontId="29" fillId="0" borderId="23" xfId="0" applyFont="1" applyBorder="1" applyAlignment="1">
      <alignment vertical="top"/>
    </xf>
    <xf numFmtId="0" fontId="0" fillId="28" borderId="10" xfId="0" applyFill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0" borderId="42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32" fillId="0" borderId="19" xfId="0" applyFont="1" applyBorder="1" applyAlignment="1">
      <alignment horizontal="left" vertical="center"/>
    </xf>
    <xf numFmtId="0" fontId="32" fillId="0" borderId="43" xfId="0" applyFont="1" applyBorder="1" applyAlignment="1">
      <alignment horizontal="left" vertical="center"/>
    </xf>
    <xf numFmtId="0" fontId="40" fillId="0" borderId="19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1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30" fillId="0" borderId="11" xfId="0" applyFont="1" applyBorder="1" applyAlignment="1">
      <alignment horizontal="left" vertical="center"/>
    </xf>
    <xf numFmtId="0" fontId="33" fillId="0" borderId="44" xfId="0" applyFont="1" applyBorder="1" applyAlignment="1" applyProtection="1">
      <alignment horizontal="left" vertical="center"/>
      <protection locked="0"/>
    </xf>
    <xf numFmtId="0" fontId="0" fillId="0" borderId="3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3" xfId="0" applyBorder="1" applyAlignment="1">
      <alignment horizontal="center"/>
    </xf>
    <xf numFmtId="0" fontId="42" fillId="27" borderId="45" xfId="0" applyFont="1" applyFill="1" applyBorder="1" applyAlignment="1">
      <alignment horizontal="center" vertical="center"/>
    </xf>
    <xf numFmtId="0" fontId="42" fillId="27" borderId="46" xfId="0" applyFont="1" applyFill="1" applyBorder="1" applyAlignment="1">
      <alignment horizontal="center" vertical="center"/>
    </xf>
    <xf numFmtId="0" fontId="42" fillId="27" borderId="47" xfId="0" applyFont="1" applyFill="1" applyBorder="1" applyAlignment="1">
      <alignment horizontal="center" vertical="center"/>
    </xf>
    <xf numFmtId="49" fontId="35" fillId="26" borderId="46" xfId="33" applyNumberFormat="1" applyFont="1" applyFill="1" applyBorder="1" applyAlignment="1">
      <alignment horizontal="center" vertical="center" wrapText="1"/>
    </xf>
    <xf numFmtId="49" fontId="35" fillId="26" borderId="43" xfId="33" applyNumberFormat="1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left" vertical="top"/>
    </xf>
    <xf numFmtId="0" fontId="25" fillId="0" borderId="0" xfId="0" applyFont="1" applyAlignment="1">
      <alignment horizontal="left" vertical="top"/>
    </xf>
    <xf numFmtId="0" fontId="25" fillId="0" borderId="18" xfId="0" applyFont="1" applyBorder="1" applyAlignment="1">
      <alignment horizontal="left" vertical="top"/>
    </xf>
    <xf numFmtId="0" fontId="26" fillId="0" borderId="20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49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18" xfId="0" applyFont="1" applyBorder="1" applyAlignment="1">
      <alignment horizontal="left" vertical="center"/>
    </xf>
    <xf numFmtId="0" fontId="27" fillId="0" borderId="34" xfId="0" applyFont="1" applyBorder="1" applyAlignment="1">
      <alignment horizontal="left" vertical="center"/>
    </xf>
    <xf numFmtId="14" fontId="46" fillId="0" borderId="0" xfId="0" applyNumberFormat="1" applyFont="1" applyAlignment="1">
      <alignment horizontal="left" vertical="top"/>
    </xf>
    <xf numFmtId="14" fontId="46" fillId="0" borderId="34" xfId="0" applyNumberFormat="1" applyFont="1" applyBorder="1" applyAlignment="1">
      <alignment horizontal="left" vertical="top"/>
    </xf>
    <xf numFmtId="10" fontId="25" fillId="0" borderId="17" xfId="0" applyNumberFormat="1" applyFont="1" applyBorder="1" applyAlignment="1">
      <alignment horizontal="left" vertical="top"/>
    </xf>
    <xf numFmtId="10" fontId="25" fillId="0" borderId="34" xfId="0" applyNumberFormat="1" applyFont="1" applyBorder="1" applyAlignment="1">
      <alignment horizontal="left" vertical="top"/>
    </xf>
    <xf numFmtId="10" fontId="25" fillId="0" borderId="50" xfId="0" applyNumberFormat="1" applyFont="1" applyBorder="1" applyAlignment="1">
      <alignment horizontal="left" vertical="top"/>
    </xf>
    <xf numFmtId="10" fontId="25" fillId="0" borderId="35" xfId="0" applyNumberFormat="1" applyFont="1" applyBorder="1" applyAlignment="1">
      <alignment horizontal="left" vertical="top"/>
    </xf>
    <xf numFmtId="0" fontId="0" fillId="0" borderId="50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38" fillId="0" borderId="22" xfId="0" applyFont="1" applyBorder="1" applyAlignment="1">
      <alignment horizontal="left" vertical="top"/>
    </xf>
    <xf numFmtId="0" fontId="38" fillId="0" borderId="0" xfId="0" applyFont="1" applyAlignment="1">
      <alignment horizontal="left" vertical="top"/>
    </xf>
    <xf numFmtId="0" fontId="38" fillId="0" borderId="18" xfId="0" applyFont="1" applyBorder="1" applyAlignment="1">
      <alignment horizontal="left" vertical="top"/>
    </xf>
    <xf numFmtId="0" fontId="23" fillId="0" borderId="0" xfId="33" applyFont="1" applyAlignment="1">
      <alignment horizontal="left"/>
    </xf>
    <xf numFmtId="0" fontId="0" fillId="0" borderId="0" xfId="0" applyAlignment="1">
      <alignment horizontal="left"/>
    </xf>
    <xf numFmtId="4" fontId="35" fillId="0" borderId="19" xfId="46" applyNumberFormat="1" applyFont="1" applyBorder="1" applyAlignment="1">
      <alignment horizontal="center" vertical="center" wrapText="1"/>
    </xf>
    <xf numFmtId="4" fontId="35" fillId="0" borderId="46" xfId="46" applyNumberFormat="1" applyFont="1" applyBorder="1" applyAlignment="1">
      <alignment horizontal="center" vertical="center" wrapText="1"/>
    </xf>
    <xf numFmtId="4" fontId="35" fillId="0" borderId="43" xfId="46" applyNumberFormat="1" applyFont="1" applyBorder="1" applyAlignment="1">
      <alignment horizontal="center" vertical="center" wrapText="1"/>
    </xf>
    <xf numFmtId="4" fontId="34" fillId="25" borderId="19" xfId="33" applyNumberFormat="1" applyFont="1" applyFill="1" applyBorder="1" applyAlignment="1">
      <alignment horizontal="center" vertical="center" wrapText="1"/>
    </xf>
    <xf numFmtId="4" fontId="34" fillId="25" borderId="46" xfId="33" applyNumberFormat="1" applyFont="1" applyFill="1" applyBorder="1" applyAlignment="1">
      <alignment horizontal="center" vertical="center" wrapText="1"/>
    </xf>
    <xf numFmtId="4" fontId="34" fillId="25" borderId="43" xfId="33" applyNumberFormat="1" applyFont="1" applyFill="1" applyBorder="1" applyAlignment="1">
      <alignment horizontal="center" vertical="center" wrapText="1"/>
    </xf>
    <xf numFmtId="0" fontId="36" fillId="27" borderId="61" xfId="33" applyFont="1" applyFill="1" applyBorder="1" applyAlignment="1">
      <alignment horizontal="center" vertical="center" wrapText="1"/>
    </xf>
    <xf numFmtId="0" fontId="36" fillId="27" borderId="62" xfId="33" applyFont="1" applyFill="1" applyBorder="1" applyAlignment="1">
      <alignment horizontal="center" vertical="center" wrapText="1"/>
    </xf>
    <xf numFmtId="0" fontId="36" fillId="27" borderId="63" xfId="33" applyFont="1" applyFill="1" applyBorder="1" applyAlignment="1">
      <alignment horizontal="center" vertical="center" wrapText="1"/>
    </xf>
    <xf numFmtId="0" fontId="38" fillId="0" borderId="34" xfId="0" applyFont="1" applyBorder="1" applyAlignment="1">
      <alignment horizontal="left" vertical="top"/>
    </xf>
    <xf numFmtId="0" fontId="42" fillId="27" borderId="51" xfId="0" applyFont="1" applyFill="1" applyBorder="1" applyAlignment="1">
      <alignment horizontal="center" vertical="center"/>
    </xf>
    <xf numFmtId="0" fontId="42" fillId="27" borderId="52" xfId="0" applyFont="1" applyFill="1" applyBorder="1" applyAlignment="1">
      <alignment horizontal="center" vertical="center"/>
    </xf>
    <xf numFmtId="0" fontId="42" fillId="27" borderId="53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27" fillId="0" borderId="32" xfId="0" applyFont="1" applyBorder="1" applyAlignment="1">
      <alignment horizontal="left" vertical="center"/>
    </xf>
    <xf numFmtId="0" fontId="27" fillId="0" borderId="33" xfId="0" applyFont="1" applyBorder="1" applyAlignment="1">
      <alignment horizontal="left" vertical="center"/>
    </xf>
    <xf numFmtId="14" fontId="43" fillId="0" borderId="22" xfId="0" applyNumberFormat="1" applyFont="1" applyBorder="1" applyAlignment="1">
      <alignment horizontal="left" vertical="top"/>
    </xf>
    <xf numFmtId="14" fontId="43" fillId="0" borderId="34" xfId="0" applyNumberFormat="1" applyFont="1" applyBorder="1" applyAlignment="1">
      <alignment horizontal="left" vertical="top"/>
    </xf>
    <xf numFmtId="0" fontId="27" fillId="0" borderId="22" xfId="0" applyFont="1" applyBorder="1" applyAlignment="1">
      <alignment horizontal="left" vertical="center"/>
    </xf>
    <xf numFmtId="10" fontId="25" fillId="0" borderId="22" xfId="0" applyNumberFormat="1" applyFont="1" applyBorder="1" applyAlignment="1">
      <alignment horizontal="left" vertical="top"/>
    </xf>
    <xf numFmtId="10" fontId="25" fillId="0" borderId="23" xfId="0" applyNumberFormat="1" applyFont="1" applyBorder="1" applyAlignment="1">
      <alignment horizontal="left" vertical="top"/>
    </xf>
  </cellXfs>
  <cellStyles count="49">
    <cellStyle name="20% - Ênfase1 2" xfId="1"/>
    <cellStyle name="20% - Ênfase2 2" xfId="2"/>
    <cellStyle name="20% - Ênfase3 2" xfId="3"/>
    <cellStyle name="20% - Ênfase4 2" xfId="4"/>
    <cellStyle name="20% - Ênfase5 2" xfId="5"/>
    <cellStyle name="20% - Ênfase6 2" xfId="6"/>
    <cellStyle name="40% - Ênfase1 2" xfId="7"/>
    <cellStyle name="40% - Ênfase2 2" xfId="8"/>
    <cellStyle name="40% - Ênfase3 2" xfId="9"/>
    <cellStyle name="40% - Ênfase4 2" xfId="10"/>
    <cellStyle name="40% - Ênfase5 2" xfId="11"/>
    <cellStyle name="40% - Ênfase6 2" xfId="12"/>
    <cellStyle name="60% - Ênfase1 2" xfId="13"/>
    <cellStyle name="60% - Ênfase2 2" xfId="14"/>
    <cellStyle name="60% - Ênfase3 2" xfId="15"/>
    <cellStyle name="60% - Ênfase4 2" xfId="16"/>
    <cellStyle name="60% - Ênfase5 2" xfId="17"/>
    <cellStyle name="60% - Ênfase6 2" xfId="18"/>
    <cellStyle name="Bom 2" xfId="19"/>
    <cellStyle name="Cálculo 2" xfId="20"/>
    <cellStyle name="Célula de Verificação 2" xfId="21"/>
    <cellStyle name="Célula Vinculada 2" xfId="22"/>
    <cellStyle name="Ênfase1 2" xfId="23"/>
    <cellStyle name="Ênfase2 2" xfId="24"/>
    <cellStyle name="Ênfase3 2" xfId="25"/>
    <cellStyle name="Ênfase4 2" xfId="26"/>
    <cellStyle name="Ênfase5 2" xfId="27"/>
    <cellStyle name="Ênfase6 2" xfId="28"/>
    <cellStyle name="Entrada 2" xfId="29"/>
    <cellStyle name="Incorreto 2" xfId="30"/>
    <cellStyle name="Moeda 2" xfId="31"/>
    <cellStyle name="Neutra 2" xfId="32"/>
    <cellStyle name="Normal" xfId="0" builtinId="0"/>
    <cellStyle name="Normal 2" xfId="33"/>
    <cellStyle name="Nota 2" xfId="34"/>
    <cellStyle name="Porcentagem" xfId="35" builtinId="5"/>
    <cellStyle name="Porcentagem 2" xfId="36"/>
    <cellStyle name="Saída 2" xfId="37"/>
    <cellStyle name="Separador de milhares" xfId="46" builtinId="3"/>
    <cellStyle name="Texto de Aviso 2" xfId="38"/>
    <cellStyle name="Texto Explicativo 2" xfId="39"/>
    <cellStyle name="Título 1 2" xfId="40"/>
    <cellStyle name="Título 2 2" xfId="41"/>
    <cellStyle name="Título 3 2" xfId="42"/>
    <cellStyle name="Título 4 2" xfId="43"/>
    <cellStyle name="Título 5" xfId="44"/>
    <cellStyle name="Total 2" xfId="45"/>
    <cellStyle name="Vírgula 2" xfId="47"/>
    <cellStyle name="Währung" xfId="4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1533525</xdr:colOff>
      <xdr:row>27</xdr:row>
      <xdr:rowOff>142875</xdr:rowOff>
    </xdr:from>
    <xdr:to>
      <xdr:col>0</xdr:col>
      <xdr:colOff>5953125</xdr:colOff>
      <xdr:row>31</xdr:row>
      <xdr:rowOff>114300</xdr:rowOff>
    </xdr:to>
    <xdr:pic>
      <xdr:nvPicPr>
        <xdr:cNvPr id="1104" name="Imagem 1" descr="Recorte de Tela">
          <a:extLst>
            <a:ext uri="{FF2B5EF4-FFF2-40B4-BE49-F238E27FC236}">
              <a16:creationId xmlns:a16="http://schemas.microsoft.com/office/drawing/2014/main" xmlns="" id="{A0BBDD3B-9072-A79F-F07A-9C9F9618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33525" y="7724775"/>
          <a:ext cx="44196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</xdr:colOff>
      <xdr:row>0</xdr:row>
      <xdr:rowOff>209550</xdr:rowOff>
    </xdr:from>
    <xdr:to>
      <xdr:col>0</xdr:col>
      <xdr:colOff>1419225</xdr:colOff>
      <xdr:row>4</xdr:row>
      <xdr:rowOff>270241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38300FF7-6A83-4EC5-9CF0-84492AB33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23825" y="209550"/>
          <a:ext cx="1295400" cy="13370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104775</xdr:rowOff>
    </xdr:from>
    <xdr:to>
      <xdr:col>2</xdr:col>
      <xdr:colOff>762000</xdr:colOff>
      <xdr:row>0</xdr:row>
      <xdr:rowOff>1441816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E5837B4E-EFA3-4962-9F94-425D3590E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685800" y="104775"/>
          <a:ext cx="1295400" cy="13370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66675</xdr:rowOff>
    </xdr:from>
    <xdr:to>
      <xdr:col>2</xdr:col>
      <xdr:colOff>742950</xdr:colOff>
      <xdr:row>0</xdr:row>
      <xdr:rowOff>1403716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xmlns="" id="{A2BB91BF-C5DA-4764-BF43-44475161C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666750" y="66675"/>
          <a:ext cx="1295400" cy="13370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1</xdr:col>
      <xdr:colOff>409575</xdr:colOff>
      <xdr:row>0</xdr:row>
      <xdr:rowOff>1432291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xmlns="" id="{3338117D-AC93-05AB-1E81-5C4AD2654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6200" y="95250"/>
          <a:ext cx="1295400" cy="13370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20"/>
  <sheetViews>
    <sheetView view="pageBreakPreview" zoomScaleSheetLayoutView="100" workbookViewId="0">
      <selection activeCell="B20" sqref="B20"/>
    </sheetView>
  </sheetViews>
  <sheetFormatPr defaultRowHeight="15"/>
  <cols>
    <col min="1" max="1" width="32.85546875" style="36" bestFit="1" customWidth="1"/>
    <col min="2" max="2" width="60.42578125" style="75" customWidth="1"/>
    <col min="3" max="3" width="55.5703125" style="36" bestFit="1" customWidth="1"/>
    <col min="4" max="5" width="48.42578125" style="36" customWidth="1"/>
    <col min="10" max="10" width="10.28515625" bestFit="1" customWidth="1"/>
    <col min="11" max="11" width="10.85546875" customWidth="1"/>
    <col min="12" max="12" width="10.28515625" bestFit="1" customWidth="1"/>
    <col min="15" max="15" width="10.28515625" bestFit="1" customWidth="1"/>
    <col min="16" max="16" width="10.85546875" customWidth="1"/>
    <col min="17" max="17" width="10.28515625" bestFit="1" customWidth="1"/>
    <col min="20" max="20" width="10.28515625" bestFit="1" customWidth="1"/>
    <col min="21" max="21" width="10.85546875" customWidth="1"/>
    <col min="22" max="22" width="10.28515625" bestFit="1" customWidth="1"/>
    <col min="25" max="25" width="10.28515625" bestFit="1" customWidth="1"/>
    <col min="26" max="26" width="10.85546875" customWidth="1"/>
    <col min="27" max="27" width="10.28515625" bestFit="1" customWidth="1"/>
    <col min="30" max="30" width="10.28515625" bestFit="1" customWidth="1"/>
    <col min="31" max="31" width="10.85546875" customWidth="1"/>
    <col min="32" max="32" width="10.28515625" bestFit="1" customWidth="1"/>
    <col min="35" max="35" width="10.28515625" bestFit="1" customWidth="1"/>
    <col min="36" max="36" width="10.85546875" customWidth="1"/>
    <col min="37" max="37" width="10.28515625" bestFit="1" customWidth="1"/>
    <col min="45" max="45" width="25.28515625" bestFit="1" customWidth="1"/>
  </cols>
  <sheetData>
    <row r="1" spans="1:46">
      <c r="A1" s="96" t="s">
        <v>89</v>
      </c>
      <c r="B1" s="96" t="s">
        <v>150</v>
      </c>
      <c r="C1" s="96" t="s">
        <v>151</v>
      </c>
      <c r="D1" s="96" t="s">
        <v>152</v>
      </c>
      <c r="E1" s="96" t="s">
        <v>163</v>
      </c>
      <c r="F1" s="74" t="s">
        <v>75</v>
      </c>
      <c r="H1" s="122"/>
      <c r="I1" s="86"/>
      <c r="J1" s="146" t="s">
        <v>153</v>
      </c>
      <c r="K1" s="147"/>
      <c r="L1" s="148"/>
      <c r="M1" s="86"/>
      <c r="N1" s="86"/>
      <c r="O1" s="146" t="s">
        <v>154</v>
      </c>
      <c r="P1" s="147"/>
      <c r="Q1" s="148"/>
      <c r="R1" s="86"/>
      <c r="S1" s="86"/>
      <c r="T1" s="143" t="s">
        <v>157</v>
      </c>
      <c r="U1" s="144"/>
      <c r="V1" s="145"/>
      <c r="W1" s="86"/>
      <c r="X1" s="86"/>
      <c r="Y1" s="143" t="s">
        <v>155</v>
      </c>
      <c r="Z1" s="144"/>
      <c r="AA1" s="145"/>
      <c r="AB1" s="86"/>
      <c r="AC1" s="86"/>
      <c r="AD1" s="143" t="s">
        <v>156</v>
      </c>
      <c r="AE1" s="144"/>
      <c r="AF1" s="145"/>
      <c r="AG1" s="86"/>
      <c r="AH1" s="86"/>
      <c r="AI1" s="143" t="s">
        <v>158</v>
      </c>
      <c r="AJ1" s="144"/>
      <c r="AK1" s="145"/>
      <c r="AL1" s="87"/>
    </row>
    <row r="2" spans="1:46" ht="15.75">
      <c r="A2" s="97" t="s">
        <v>90</v>
      </c>
      <c r="B2" s="97" t="s">
        <v>219</v>
      </c>
      <c r="C2" s="97" t="s">
        <v>220</v>
      </c>
      <c r="D2" s="97" t="s">
        <v>91</v>
      </c>
      <c r="E2" s="97" t="s">
        <v>164</v>
      </c>
      <c r="F2" s="76">
        <v>0.05</v>
      </c>
      <c r="H2" s="123"/>
      <c r="J2" s="78" t="s">
        <v>60</v>
      </c>
      <c r="K2" s="37" t="s">
        <v>186</v>
      </c>
      <c r="L2" s="79" t="s">
        <v>61</v>
      </c>
      <c r="O2" s="78" t="s">
        <v>60</v>
      </c>
      <c r="P2" s="37" t="s">
        <v>186</v>
      </c>
      <c r="Q2" s="79" t="s">
        <v>61</v>
      </c>
      <c r="T2" s="78" t="s">
        <v>60</v>
      </c>
      <c r="U2" s="37" t="s">
        <v>186</v>
      </c>
      <c r="V2" s="79" t="s">
        <v>61</v>
      </c>
      <c r="Y2" s="78" t="s">
        <v>60</v>
      </c>
      <c r="Z2" s="37" t="s">
        <v>186</v>
      </c>
      <c r="AA2" s="79" t="s">
        <v>61</v>
      </c>
      <c r="AD2" s="78" t="s">
        <v>60</v>
      </c>
      <c r="AE2" s="37" t="s">
        <v>186</v>
      </c>
      <c r="AF2" s="79" t="s">
        <v>61</v>
      </c>
      <c r="AI2" s="78" t="s">
        <v>60</v>
      </c>
      <c r="AJ2" s="37" t="s">
        <v>186</v>
      </c>
      <c r="AK2" s="79" t="s">
        <v>61</v>
      </c>
      <c r="AL2" s="88"/>
      <c r="AM2" t="s">
        <v>153</v>
      </c>
      <c r="AS2" t="s">
        <v>205</v>
      </c>
      <c r="AT2" t="s">
        <v>206</v>
      </c>
    </row>
    <row r="3" spans="1:46" ht="15.75">
      <c r="A3" s="97" t="s">
        <v>92</v>
      </c>
      <c r="B3" s="97" t="s">
        <v>88</v>
      </c>
      <c r="C3" s="97" t="s">
        <v>93</v>
      </c>
      <c r="D3" s="97" t="s">
        <v>94</v>
      </c>
      <c r="E3" s="97" t="s">
        <v>165</v>
      </c>
      <c r="F3" s="76">
        <v>0.03</v>
      </c>
      <c r="H3" s="123"/>
      <c r="I3" s="85" t="s">
        <v>63</v>
      </c>
      <c r="J3" s="83">
        <v>0.03</v>
      </c>
      <c r="K3" s="42">
        <v>4.4999999999999998E-2</v>
      </c>
      <c r="L3" s="80">
        <v>5.5E-2</v>
      </c>
      <c r="N3" s="85" t="s">
        <v>63</v>
      </c>
      <c r="O3" s="83">
        <v>3.7999999999999999E-2</v>
      </c>
      <c r="P3" s="128">
        <v>4.6699999999999998E-2</v>
      </c>
      <c r="Q3" s="80">
        <v>4.6699999999999998E-2</v>
      </c>
      <c r="S3" s="85" t="s">
        <v>63</v>
      </c>
      <c r="T3" s="83">
        <v>3.4299999999999997E-2</v>
      </c>
      <c r="U3" s="42">
        <v>4.9299999999999997E-2</v>
      </c>
      <c r="V3" s="80">
        <v>6.7100000000000007E-2</v>
      </c>
      <c r="X3" s="85" t="s">
        <v>63</v>
      </c>
      <c r="Y3" s="83">
        <v>5.2900000000000003E-2</v>
      </c>
      <c r="Z3" s="42">
        <v>6.2E-2</v>
      </c>
      <c r="AA3" s="80">
        <v>7.9299999999999995E-2</v>
      </c>
      <c r="AC3" s="85" t="s">
        <v>63</v>
      </c>
      <c r="AD3" s="83">
        <v>0.04</v>
      </c>
      <c r="AE3" s="42">
        <v>5.5199999999999999E-2</v>
      </c>
      <c r="AF3" s="80">
        <v>7.85E-2</v>
      </c>
      <c r="AH3" s="85" t="s">
        <v>63</v>
      </c>
      <c r="AI3" s="83">
        <v>1.4999999999999999E-2</v>
      </c>
      <c r="AJ3" s="42">
        <v>1.4999999999999999E-2</v>
      </c>
      <c r="AK3" s="80">
        <v>4.4900000000000002E-2</v>
      </c>
      <c r="AL3" s="88"/>
      <c r="AM3" t="s">
        <v>154</v>
      </c>
      <c r="AS3" t="s">
        <v>210</v>
      </c>
      <c r="AT3" t="s">
        <v>207</v>
      </c>
    </row>
    <row r="4" spans="1:46" ht="15.75">
      <c r="A4" s="97" t="s">
        <v>95</v>
      </c>
      <c r="B4" s="97" t="s">
        <v>96</v>
      </c>
      <c r="C4" s="97" t="s">
        <v>97</v>
      </c>
      <c r="D4" s="97" t="s">
        <v>98</v>
      </c>
      <c r="E4" s="97" t="s">
        <v>166</v>
      </c>
      <c r="F4" s="76">
        <v>0.05</v>
      </c>
      <c r="H4" s="123"/>
      <c r="I4" s="85" t="s">
        <v>65</v>
      </c>
      <c r="J4" s="83">
        <v>8.0000000000000002E-3</v>
      </c>
      <c r="K4" s="42">
        <v>8.0000000000000002E-3</v>
      </c>
      <c r="L4" s="80">
        <v>0.01</v>
      </c>
      <c r="N4" s="85" t="s">
        <v>65</v>
      </c>
      <c r="O4" s="83">
        <v>3.2000000000000002E-3</v>
      </c>
      <c r="P4" s="42">
        <v>6.0000000000000001E-3</v>
      </c>
      <c r="Q4" s="80">
        <v>7.4000000000000003E-3</v>
      </c>
      <c r="S4" s="85" t="s">
        <v>65</v>
      </c>
      <c r="T4" s="83">
        <v>2.8E-3</v>
      </c>
      <c r="U4" s="42">
        <v>4.8999999999999998E-3</v>
      </c>
      <c r="V4" s="127">
        <v>7.4999999999999997E-3</v>
      </c>
      <c r="X4" s="85" t="s">
        <v>65</v>
      </c>
      <c r="Y4" s="83">
        <v>2.5000000000000001E-3</v>
      </c>
      <c r="Z4" s="42">
        <v>5.1000000000000004E-3</v>
      </c>
      <c r="AA4" s="80">
        <v>5.5999999999999999E-3</v>
      </c>
      <c r="AC4" s="85" t="s">
        <v>65</v>
      </c>
      <c r="AD4" s="83">
        <v>8.0999999999999996E-3</v>
      </c>
      <c r="AE4" s="42">
        <v>1.2200000000000001E-2</v>
      </c>
      <c r="AF4" s="80">
        <v>1.9900000000000001E-2</v>
      </c>
      <c r="AH4" s="85" t="s">
        <v>65</v>
      </c>
      <c r="AI4" s="83">
        <v>3.0000000000000001E-3</v>
      </c>
      <c r="AJ4" s="42">
        <v>3.0000000000000001E-3</v>
      </c>
      <c r="AK4" s="80">
        <v>8.2000000000000007E-3</v>
      </c>
      <c r="AL4" s="88"/>
      <c r="AM4" t="s">
        <v>157</v>
      </c>
      <c r="AS4" t="s">
        <v>211</v>
      </c>
      <c r="AT4" t="s">
        <v>212</v>
      </c>
    </row>
    <row r="5" spans="1:46" ht="15.75">
      <c r="A5" s="97" t="s">
        <v>99</v>
      </c>
      <c r="B5" s="97" t="s">
        <v>100</v>
      </c>
      <c r="C5" s="97" t="s">
        <v>101</v>
      </c>
      <c r="D5" s="97" t="s">
        <v>102</v>
      </c>
      <c r="E5" s="97" t="s">
        <v>171</v>
      </c>
      <c r="F5" s="76">
        <v>0.05</v>
      </c>
      <c r="H5" s="123"/>
      <c r="I5" s="85" t="s">
        <v>67</v>
      </c>
      <c r="J5" s="83">
        <v>9.7000000000000003E-3</v>
      </c>
      <c r="K5" s="42">
        <v>1.06E-2</v>
      </c>
      <c r="L5" s="80">
        <v>1.2699999999999999E-2</v>
      </c>
      <c r="N5" s="85" t="s">
        <v>67</v>
      </c>
      <c r="O5" s="83">
        <v>5.0000000000000001E-3</v>
      </c>
      <c r="P5" s="42">
        <v>8.0000000000000002E-3</v>
      </c>
      <c r="Q5" s="80">
        <v>9.7000000000000003E-3</v>
      </c>
      <c r="S5" s="85" t="s">
        <v>67</v>
      </c>
      <c r="T5" s="83">
        <v>0.01</v>
      </c>
      <c r="U5" s="42">
        <v>1.3899999999999999E-2</v>
      </c>
      <c r="V5" s="80">
        <v>1.7399999999999999E-2</v>
      </c>
      <c r="X5" s="85" t="s">
        <v>67</v>
      </c>
      <c r="Y5" s="83">
        <v>0.01</v>
      </c>
      <c r="Z5" s="42">
        <v>1.4800000000000001E-2</v>
      </c>
      <c r="AA5" s="80">
        <v>1.9699999999999999E-2</v>
      </c>
      <c r="AC5" s="85" t="s">
        <v>67</v>
      </c>
      <c r="AD5" s="83">
        <v>1.46E-2</v>
      </c>
      <c r="AE5" s="42">
        <v>2.3199999999999998E-2</v>
      </c>
      <c r="AF5" s="80">
        <v>3.1600000000000003E-2</v>
      </c>
      <c r="AH5" s="85" t="s">
        <v>67</v>
      </c>
      <c r="AI5" s="83">
        <v>5.5999999999999999E-3</v>
      </c>
      <c r="AJ5" s="42">
        <v>5.5999999999999999E-3</v>
      </c>
      <c r="AK5" s="80">
        <v>8.8999999999999999E-3</v>
      </c>
      <c r="AL5" s="88"/>
      <c r="AM5" t="s">
        <v>155</v>
      </c>
      <c r="AS5" t="s">
        <v>215</v>
      </c>
      <c r="AT5" t="s">
        <v>208</v>
      </c>
    </row>
    <row r="6" spans="1:46" ht="15.75">
      <c r="A6" s="97" t="s">
        <v>103</v>
      </c>
      <c r="B6" s="97" t="s">
        <v>104</v>
      </c>
      <c r="C6" s="97" t="s">
        <v>105</v>
      </c>
      <c r="D6" s="97" t="s">
        <v>106</v>
      </c>
      <c r="E6" s="97" t="s">
        <v>172</v>
      </c>
      <c r="F6" s="76">
        <v>0.02</v>
      </c>
      <c r="H6" s="123"/>
      <c r="I6" s="85" t="s">
        <v>69</v>
      </c>
      <c r="J6" s="83">
        <v>5.8999999999999999E-3</v>
      </c>
      <c r="K6" s="42">
        <v>1.23E-2</v>
      </c>
      <c r="L6" s="80">
        <v>1.3899999999999999E-2</v>
      </c>
      <c r="N6" s="85" t="s">
        <v>69</v>
      </c>
      <c r="O6" s="83">
        <v>1.0200000000000001E-2</v>
      </c>
      <c r="P6" s="42">
        <v>1.11E-2</v>
      </c>
      <c r="Q6" s="80">
        <v>1.21E-2</v>
      </c>
      <c r="S6" s="85" t="s">
        <v>69</v>
      </c>
      <c r="T6" s="83">
        <v>9.4000000000000004E-3</v>
      </c>
      <c r="U6" s="42">
        <v>9.9000000000000008E-3</v>
      </c>
      <c r="V6" s="80">
        <v>1.17E-2</v>
      </c>
      <c r="X6" s="85" t="s">
        <v>69</v>
      </c>
      <c r="Y6" s="83">
        <v>1.01E-2</v>
      </c>
      <c r="Z6" s="42">
        <v>1.0699999999999999E-2</v>
      </c>
      <c r="AA6" s="80">
        <v>1.11E-2</v>
      </c>
      <c r="AC6" s="85" t="s">
        <v>69</v>
      </c>
      <c r="AD6" s="83">
        <v>9.4000000000000004E-3</v>
      </c>
      <c r="AE6" s="42">
        <v>1.0200000000000001E-2</v>
      </c>
      <c r="AF6" s="80">
        <v>1.3299999999999999E-2</v>
      </c>
      <c r="AH6" s="85" t="s">
        <v>69</v>
      </c>
      <c r="AI6" s="83">
        <v>8.5000000000000006E-3</v>
      </c>
      <c r="AJ6" s="42">
        <v>8.5000000000000006E-3</v>
      </c>
      <c r="AK6" s="80">
        <v>1.11E-2</v>
      </c>
      <c r="AL6" s="88"/>
      <c r="AM6" t="s">
        <v>156</v>
      </c>
      <c r="AS6" t="s">
        <v>39</v>
      </c>
      <c r="AT6" t="s">
        <v>209</v>
      </c>
    </row>
    <row r="7" spans="1:46" ht="15.75">
      <c r="A7" s="97" t="s">
        <v>198</v>
      </c>
      <c r="B7" s="97" t="s">
        <v>199</v>
      </c>
      <c r="C7" s="97" t="s">
        <v>200</v>
      </c>
      <c r="D7" s="97" t="s">
        <v>201</v>
      </c>
      <c r="E7" s="97" t="s">
        <v>202</v>
      </c>
      <c r="F7" s="76">
        <v>0.05</v>
      </c>
      <c r="H7" s="123"/>
      <c r="I7" s="85" t="s">
        <v>71</v>
      </c>
      <c r="J7" s="83">
        <v>6.1600000000000002E-2</v>
      </c>
      <c r="K7" s="42">
        <v>7.400000000000001E-2</v>
      </c>
      <c r="L7" s="80">
        <v>8.9600000000000013E-2</v>
      </c>
      <c r="N7" s="85" t="s">
        <v>71</v>
      </c>
      <c r="O7" s="83">
        <v>6.6400000000000001E-2</v>
      </c>
      <c r="P7" s="42">
        <v>0.08</v>
      </c>
      <c r="Q7" s="80">
        <v>8.6900000000000005E-2</v>
      </c>
      <c r="S7" s="85" t="s">
        <v>71</v>
      </c>
      <c r="T7" s="83">
        <v>6.7400000000000002E-2</v>
      </c>
      <c r="U7" s="42">
        <v>8.0399999999999999E-2</v>
      </c>
      <c r="V7" s="80">
        <v>9.4E-2</v>
      </c>
      <c r="X7" s="85" t="s">
        <v>71</v>
      </c>
      <c r="Y7" s="83">
        <v>0.08</v>
      </c>
      <c r="Z7" s="42">
        <v>8.3099999999999993E-2</v>
      </c>
      <c r="AA7" s="80">
        <v>9.5100000000000004E-2</v>
      </c>
      <c r="AC7" s="85" t="s">
        <v>71</v>
      </c>
      <c r="AD7" s="83">
        <v>7.1400000000000005E-2</v>
      </c>
      <c r="AE7" s="42">
        <v>8.4000000000000005E-2</v>
      </c>
      <c r="AF7" s="80">
        <v>0.1043</v>
      </c>
      <c r="AH7" s="85" t="s">
        <v>71</v>
      </c>
      <c r="AI7" s="83">
        <v>3.5000000000000003E-2</v>
      </c>
      <c r="AJ7" s="42">
        <v>3.5000000000000003E-2</v>
      </c>
      <c r="AK7" s="80">
        <v>6.2199999999999998E-2</v>
      </c>
      <c r="AL7" s="88"/>
      <c r="AM7" t="s">
        <v>158</v>
      </c>
      <c r="AS7" t="s">
        <v>213</v>
      </c>
      <c r="AT7" t="s">
        <v>214</v>
      </c>
    </row>
    <row r="8" spans="1:46" ht="15.75">
      <c r="A8" s="97" t="s">
        <v>107</v>
      </c>
      <c r="B8" s="97" t="s">
        <v>108</v>
      </c>
      <c r="C8" s="97" t="s">
        <v>109</v>
      </c>
      <c r="D8" s="97" t="s">
        <v>110</v>
      </c>
      <c r="E8" s="97" t="s">
        <v>167</v>
      </c>
      <c r="F8" s="76">
        <v>0.05</v>
      </c>
      <c r="G8" s="113" t="s">
        <v>182</v>
      </c>
      <c r="H8" s="126"/>
      <c r="I8" s="85" t="s">
        <v>73</v>
      </c>
      <c r="J8" s="83">
        <v>3.6499999999999998E-2</v>
      </c>
      <c r="K8" s="42">
        <v>3.6499999999999998E-2</v>
      </c>
      <c r="L8" s="80">
        <v>3.6499999999999998E-2</v>
      </c>
      <c r="N8" s="85" t="s">
        <v>73</v>
      </c>
      <c r="O8" s="83">
        <v>3.6499999999999998E-2</v>
      </c>
      <c r="P8" s="42">
        <v>3.6499999999999998E-2</v>
      </c>
      <c r="Q8" s="80">
        <v>3.6499999999999998E-2</v>
      </c>
      <c r="S8" s="85" t="s">
        <v>73</v>
      </c>
      <c r="T8" s="83">
        <v>3.6499999999999998E-2</v>
      </c>
      <c r="U8" s="42">
        <v>3.6499999999999998E-2</v>
      </c>
      <c r="V8" s="80">
        <v>3.6499999999999998E-2</v>
      </c>
      <c r="X8" s="85" t="s">
        <v>73</v>
      </c>
      <c r="Y8" s="83">
        <v>3.6499999999999998E-2</v>
      </c>
      <c r="Z8" s="42">
        <v>3.6499999999999998E-2</v>
      </c>
      <c r="AA8" s="80">
        <v>3.6499999999999998E-2</v>
      </c>
      <c r="AC8" s="85" t="s">
        <v>73</v>
      </c>
      <c r="AD8" s="83">
        <v>3.6499999999999998E-2</v>
      </c>
      <c r="AE8" s="42">
        <v>3.6499999999999998E-2</v>
      </c>
      <c r="AF8" s="80">
        <v>3.6499999999999998E-2</v>
      </c>
      <c r="AH8" s="85" t="s">
        <v>73</v>
      </c>
      <c r="AI8" s="83">
        <v>3.6499999999999998E-2</v>
      </c>
      <c r="AJ8" s="42">
        <v>3.6499999999999998E-2</v>
      </c>
      <c r="AK8" s="80">
        <v>3.6499999999999998E-2</v>
      </c>
      <c r="AL8" s="88"/>
    </row>
    <row r="9" spans="1:46" ht="15.75">
      <c r="A9" s="97" t="s">
        <v>111</v>
      </c>
      <c r="B9" s="97" t="s">
        <v>112</v>
      </c>
      <c r="C9" s="97" t="s">
        <v>113</v>
      </c>
      <c r="D9" s="97" t="s">
        <v>114</v>
      </c>
      <c r="E9" s="97" t="s">
        <v>168</v>
      </c>
      <c r="F9" s="76">
        <v>0.03</v>
      </c>
      <c r="G9" s="113" t="s">
        <v>183</v>
      </c>
      <c r="H9" s="126"/>
      <c r="I9" s="85" t="s">
        <v>75</v>
      </c>
      <c r="J9" s="83">
        <f>BDI!$C$12*BDI!$C$11</f>
        <v>2.5000000000000001E-2</v>
      </c>
      <c r="K9" s="42">
        <f>BDI!$C$12*BDI!$C$11</f>
        <v>2.5000000000000001E-2</v>
      </c>
      <c r="L9" s="80">
        <f>BDI!$C$12*BDI!$C$11</f>
        <v>2.5000000000000001E-2</v>
      </c>
      <c r="N9" s="85" t="s">
        <v>75</v>
      </c>
      <c r="O9" s="83">
        <f>BDI!$C$12*BDI!$C$11</f>
        <v>2.5000000000000001E-2</v>
      </c>
      <c r="P9" s="42">
        <f>BDI!$C$12*BDI!$C$11</f>
        <v>2.5000000000000001E-2</v>
      </c>
      <c r="Q9" s="80">
        <f>BDI!$C$12*BDI!$C$11</f>
        <v>2.5000000000000001E-2</v>
      </c>
      <c r="S9" s="85" t="s">
        <v>75</v>
      </c>
      <c r="T9" s="83">
        <f>BDI!$C$12*BDI!$C$11</f>
        <v>2.5000000000000001E-2</v>
      </c>
      <c r="U9" s="42">
        <f>BDI!$C$12*BDI!$C$11</f>
        <v>2.5000000000000001E-2</v>
      </c>
      <c r="V9" s="80">
        <f>BDI!$C$12*BDI!$C$11</f>
        <v>2.5000000000000001E-2</v>
      </c>
      <c r="X9" s="85" t="s">
        <v>75</v>
      </c>
      <c r="Y9" s="83">
        <f>BDI!$C$12*BDI!$C$11</f>
        <v>2.5000000000000001E-2</v>
      </c>
      <c r="Z9" s="42">
        <f>BDI!$C$12*BDI!$C$11</f>
        <v>2.5000000000000001E-2</v>
      </c>
      <c r="AA9" s="80">
        <f>BDI!$C$12*BDI!$C$11</f>
        <v>2.5000000000000001E-2</v>
      </c>
      <c r="AC9" s="85" t="s">
        <v>75</v>
      </c>
      <c r="AD9" s="83">
        <f>BDI!$C$12*BDI!$C$11</f>
        <v>2.5000000000000001E-2</v>
      </c>
      <c r="AE9" s="42">
        <f>BDI!$C$12*BDI!$C$11</f>
        <v>2.5000000000000001E-2</v>
      </c>
      <c r="AF9" s="80">
        <f>BDI!$C$12*BDI!$C$11</f>
        <v>2.5000000000000001E-2</v>
      </c>
      <c r="AH9" s="85" t="s">
        <v>75</v>
      </c>
      <c r="AI9" s="83">
        <f>BDI!$C$12*BDI!$C$11</f>
        <v>2.5000000000000001E-2</v>
      </c>
      <c r="AJ9" s="42">
        <f>BDI!$C$12*BDI!$C$11</f>
        <v>2.5000000000000001E-2</v>
      </c>
      <c r="AK9" s="80">
        <f>BDI!$C$12*BDI!$C$11</f>
        <v>2.5000000000000001E-2</v>
      </c>
      <c r="AL9" s="88"/>
    </row>
    <row r="10" spans="1:46" ht="15.75">
      <c r="A10" s="97" t="s">
        <v>216</v>
      </c>
      <c r="B10" s="97" t="s">
        <v>217</v>
      </c>
      <c r="C10" s="97" t="s">
        <v>218</v>
      </c>
      <c r="D10" s="97" t="s">
        <v>115</v>
      </c>
      <c r="E10" s="97" t="s">
        <v>173</v>
      </c>
      <c r="F10" s="76">
        <v>0.03</v>
      </c>
      <c r="G10" s="113" t="s">
        <v>184</v>
      </c>
      <c r="H10" s="123"/>
      <c r="I10" s="85" t="s">
        <v>77</v>
      </c>
      <c r="J10" s="83">
        <v>0</v>
      </c>
      <c r="K10" s="42">
        <v>4.4999999999999998E-2</v>
      </c>
      <c r="L10" s="80">
        <v>4.4999999999999998E-2</v>
      </c>
      <c r="N10" s="85" t="s">
        <v>77</v>
      </c>
      <c r="O10" s="83">
        <v>0</v>
      </c>
      <c r="P10" s="42">
        <v>4.4999999999999998E-2</v>
      </c>
      <c r="Q10" s="80">
        <v>4.4999999999999998E-2</v>
      </c>
      <c r="S10" s="85" t="s">
        <v>77</v>
      </c>
      <c r="T10" s="83">
        <v>0</v>
      </c>
      <c r="U10" s="42">
        <v>4.4999999999999998E-2</v>
      </c>
      <c r="V10" s="80">
        <v>4.4999999999999998E-2</v>
      </c>
      <c r="X10" s="85" t="s">
        <v>77</v>
      </c>
      <c r="Y10" s="83">
        <v>0</v>
      </c>
      <c r="Z10" s="42">
        <v>4.4999999999999998E-2</v>
      </c>
      <c r="AA10" s="80">
        <v>4.4999999999999998E-2</v>
      </c>
      <c r="AC10" s="85" t="s">
        <v>77</v>
      </c>
      <c r="AD10" s="83">
        <v>0</v>
      </c>
      <c r="AE10" s="42">
        <v>4.4999999999999998E-2</v>
      </c>
      <c r="AF10" s="80">
        <v>4.4999999999999998E-2</v>
      </c>
      <c r="AH10" s="85" t="s">
        <v>77</v>
      </c>
      <c r="AI10" s="83">
        <v>0</v>
      </c>
      <c r="AJ10" s="42">
        <v>4.4999999999999998E-2</v>
      </c>
      <c r="AK10" s="80">
        <v>4.4999999999999998E-2</v>
      </c>
      <c r="AL10" s="88"/>
      <c r="AM10" t="s">
        <v>160</v>
      </c>
    </row>
    <row r="11" spans="1:46" ht="15.75">
      <c r="A11" s="97" t="s">
        <v>116</v>
      </c>
      <c r="B11" s="97" t="s">
        <v>117</v>
      </c>
      <c r="C11" s="97" t="s">
        <v>118</v>
      </c>
      <c r="D11" s="97" t="s">
        <v>119</v>
      </c>
      <c r="E11" s="97" t="s">
        <v>174</v>
      </c>
      <c r="F11" s="76">
        <v>0.05</v>
      </c>
      <c r="G11" s="113" t="s">
        <v>185</v>
      </c>
      <c r="H11" s="126"/>
      <c r="J11" s="83"/>
      <c r="K11" s="42"/>
      <c r="L11" s="80"/>
      <c r="O11" s="83"/>
      <c r="P11" s="42"/>
      <c r="Q11" s="80"/>
      <c r="T11" s="83"/>
      <c r="U11" s="42"/>
      <c r="V11" s="80"/>
      <c r="Y11" s="83"/>
      <c r="Z11" s="42"/>
      <c r="AA11" s="80"/>
      <c r="AD11" s="83"/>
      <c r="AE11" s="42"/>
      <c r="AF11" s="80"/>
      <c r="AI11" s="83"/>
      <c r="AJ11" s="42"/>
      <c r="AK11" s="80"/>
      <c r="AL11" s="88"/>
      <c r="AM11" t="s">
        <v>161</v>
      </c>
    </row>
    <row r="12" spans="1:46" ht="16.5" thickBot="1">
      <c r="A12" s="97" t="s">
        <v>120</v>
      </c>
      <c r="B12" s="97" t="s">
        <v>121</v>
      </c>
      <c r="C12" s="97" t="s">
        <v>122</v>
      </c>
      <c r="D12" s="97" t="s">
        <v>123</v>
      </c>
      <c r="E12" s="97" t="s">
        <v>175</v>
      </c>
      <c r="F12" s="76">
        <v>0.02</v>
      </c>
      <c r="H12" s="123"/>
      <c r="J12" s="84"/>
      <c r="K12" s="81"/>
      <c r="L12" s="82"/>
      <c r="O12" s="84"/>
      <c r="P12" s="81"/>
      <c r="Q12" s="82"/>
      <c r="T12" s="84"/>
      <c r="U12" s="81"/>
      <c r="V12" s="82"/>
      <c r="Y12" s="84"/>
      <c r="Z12" s="81"/>
      <c r="AA12" s="82"/>
      <c r="AD12" s="84"/>
      <c r="AE12" s="81"/>
      <c r="AF12" s="82"/>
      <c r="AI12" s="84"/>
      <c r="AJ12" s="81"/>
      <c r="AK12" s="82"/>
      <c r="AL12" s="88"/>
    </row>
    <row r="13" spans="1:46">
      <c r="A13" s="97" t="s">
        <v>124</v>
      </c>
      <c r="B13" s="97" t="s">
        <v>125</v>
      </c>
      <c r="C13" s="97" t="s">
        <v>126</v>
      </c>
      <c r="D13" s="97" t="s">
        <v>127</v>
      </c>
      <c r="E13" s="97" t="s">
        <v>176</v>
      </c>
      <c r="F13" s="76">
        <v>0.02</v>
      </c>
      <c r="H13" s="126"/>
      <c r="AL13" s="88"/>
    </row>
    <row r="14" spans="1:46">
      <c r="A14" s="97" t="s">
        <v>128</v>
      </c>
      <c r="B14" s="97" t="s">
        <v>129</v>
      </c>
      <c r="C14" s="97" t="s">
        <v>130</v>
      </c>
      <c r="D14" s="97" t="s">
        <v>131</v>
      </c>
      <c r="E14" s="97" t="s">
        <v>169</v>
      </c>
      <c r="F14" s="76">
        <v>0.02</v>
      </c>
      <c r="H14" s="126"/>
      <c r="AL14" s="88"/>
    </row>
    <row r="15" spans="1:46">
      <c r="A15" s="97" t="s">
        <v>132</v>
      </c>
      <c r="B15" s="97" t="s">
        <v>133</v>
      </c>
      <c r="C15" s="97" t="s">
        <v>134</v>
      </c>
      <c r="D15" s="97" t="s">
        <v>135</v>
      </c>
      <c r="E15" s="97" t="s">
        <v>170</v>
      </c>
      <c r="F15" s="76">
        <v>0.05</v>
      </c>
      <c r="H15" s="123"/>
      <c r="AL15" s="88"/>
    </row>
    <row r="16" spans="1:46">
      <c r="A16" s="97" t="s">
        <v>136</v>
      </c>
      <c r="B16" s="97" t="s">
        <v>221</v>
      </c>
      <c r="C16" s="97" t="s">
        <v>222</v>
      </c>
      <c r="D16" s="97" t="s">
        <v>137</v>
      </c>
      <c r="E16" s="97" t="s">
        <v>177</v>
      </c>
      <c r="F16" s="76">
        <v>0.02</v>
      </c>
      <c r="H16" s="126"/>
      <c r="K16" s="114"/>
      <c r="AL16" s="88"/>
    </row>
    <row r="17" spans="1:38" ht="15.75" thickBot="1">
      <c r="A17" s="97" t="s">
        <v>138</v>
      </c>
      <c r="B17" s="97" t="s">
        <v>139</v>
      </c>
      <c r="C17" s="97" t="s">
        <v>140</v>
      </c>
      <c r="D17" s="97" t="s">
        <v>141</v>
      </c>
      <c r="E17" s="97" t="s">
        <v>178</v>
      </c>
      <c r="F17" s="76">
        <v>0.03</v>
      </c>
      <c r="H17" s="124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90"/>
    </row>
    <row r="18" spans="1:38">
      <c r="A18" s="97" t="s">
        <v>142</v>
      </c>
      <c r="B18" s="97" t="s">
        <v>143</v>
      </c>
      <c r="C18" s="97" t="s">
        <v>144</v>
      </c>
      <c r="D18" s="97" t="s">
        <v>145</v>
      </c>
      <c r="E18" s="97" t="s">
        <v>179</v>
      </c>
      <c r="F18" s="76">
        <v>0.05</v>
      </c>
      <c r="H18" s="125"/>
    </row>
    <row r="19" spans="1:38">
      <c r="A19" s="138" t="s">
        <v>223</v>
      </c>
      <c r="B19" s="138" t="s">
        <v>224</v>
      </c>
      <c r="C19" s="138" t="s">
        <v>225</v>
      </c>
      <c r="D19" s="138" t="s">
        <v>227</v>
      </c>
      <c r="E19" s="138" t="s">
        <v>226</v>
      </c>
      <c r="F19" s="139">
        <v>0.05</v>
      </c>
      <c r="H19" s="125"/>
    </row>
    <row r="20" spans="1:38" ht="15.75" thickBot="1">
      <c r="A20" s="98" t="s">
        <v>146</v>
      </c>
      <c r="B20" s="98" t="s">
        <v>147</v>
      </c>
      <c r="C20" s="98" t="s">
        <v>148</v>
      </c>
      <c r="D20" s="98" t="s">
        <v>149</v>
      </c>
      <c r="E20" s="98" t="s">
        <v>180</v>
      </c>
      <c r="F20" s="77">
        <v>0.05</v>
      </c>
      <c r="H20" s="125"/>
    </row>
  </sheetData>
  <sheetProtection sheet="1" objects="1" scenarios="1" selectLockedCells="1" selectUnlockedCells="1"/>
  <mergeCells count="6">
    <mergeCell ref="AI1:AK1"/>
    <mergeCell ref="J1:L1"/>
    <mergeCell ref="O1:Q1"/>
    <mergeCell ref="T1:V1"/>
    <mergeCell ref="Y1:AA1"/>
    <mergeCell ref="AD1:AF1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4"/>
  <sheetViews>
    <sheetView tabSelected="1" view="pageBreakPreview" topLeftCell="A34" zoomScaleSheetLayoutView="100" workbookViewId="0">
      <selection activeCell="C34" sqref="C34"/>
    </sheetView>
  </sheetViews>
  <sheetFormatPr defaultRowHeight="15"/>
  <cols>
    <col min="1" max="1" width="94.42578125" style="102" customWidth="1"/>
    <col min="2" max="2" width="9.140625" style="102"/>
    <col min="3" max="3" width="11.42578125" style="102" customWidth="1"/>
    <col min="4" max="5" width="9.140625" style="102"/>
    <col min="6" max="6" width="18.42578125" style="102" customWidth="1"/>
    <col min="7" max="7" width="10.85546875" style="102" customWidth="1"/>
    <col min="8" max="8" width="10.28515625" style="102" customWidth="1"/>
    <col min="9" max="9" width="11" style="102" customWidth="1"/>
    <col min="10" max="10" width="9.140625" style="102"/>
    <col min="11" max="12" width="11.5703125" style="102" bestFit="1" customWidth="1"/>
    <col min="13" max="16384" width="9.140625" style="102"/>
  </cols>
  <sheetData>
    <row r="1" spans="1:14" ht="26.25">
      <c r="A1" s="153"/>
      <c r="B1" s="153"/>
      <c r="C1" s="153"/>
    </row>
    <row r="2" spans="1:14" s="105" customFormat="1" ht="24.75" customHeight="1">
      <c r="A2" s="154"/>
      <c r="B2" s="154"/>
      <c r="C2" s="154"/>
    </row>
    <row r="3" spans="1:14" s="105" customFormat="1" ht="24.75" customHeight="1">
      <c r="A3" s="154"/>
      <c r="B3" s="154"/>
      <c r="C3" s="154"/>
    </row>
    <row r="4" spans="1:14" s="105" customFormat="1" ht="24.75" customHeight="1">
      <c r="A4" s="154"/>
      <c r="B4" s="154"/>
      <c r="C4" s="154"/>
    </row>
    <row r="5" spans="1:14" ht="24.75" customHeight="1">
      <c r="A5" s="154"/>
      <c r="B5" s="154"/>
      <c r="C5" s="154"/>
      <c r="F5" s="99"/>
      <c r="G5" s="99"/>
      <c r="H5" s="99"/>
      <c r="I5" s="99"/>
      <c r="J5" s="99"/>
      <c r="K5" s="99"/>
      <c r="L5" s="99"/>
      <c r="M5" s="99"/>
      <c r="N5" s="99"/>
    </row>
    <row r="6" spans="1:14" ht="15.75">
      <c r="F6" s="99"/>
      <c r="G6" s="99"/>
      <c r="H6" s="99"/>
      <c r="I6" s="99"/>
      <c r="J6" s="99"/>
      <c r="K6" s="99"/>
      <c r="L6" s="99"/>
      <c r="M6" s="99"/>
      <c r="N6" s="99"/>
    </row>
    <row r="7" spans="1:14" s="104" customFormat="1" ht="20.100000000000001" customHeight="1">
      <c r="A7" s="155" t="s">
        <v>159</v>
      </c>
      <c r="B7" s="155"/>
      <c r="C7" s="155"/>
      <c r="F7" s="99"/>
      <c r="G7" s="99"/>
      <c r="H7" s="99"/>
      <c r="I7" s="99"/>
      <c r="J7" s="99"/>
      <c r="K7" s="99"/>
      <c r="L7" s="99"/>
      <c r="M7" s="99"/>
      <c r="N7" s="99"/>
    </row>
    <row r="8" spans="1:14" s="104" customFormat="1" ht="20.100000000000001" customHeight="1">
      <c r="A8" s="156" t="s">
        <v>153</v>
      </c>
      <c r="B8" s="156"/>
      <c r="C8" s="156"/>
      <c r="F8" s="99"/>
      <c r="G8" s="99"/>
      <c r="H8" s="99"/>
      <c r="I8" s="99"/>
      <c r="J8" s="99"/>
      <c r="K8" s="99"/>
      <c r="L8" s="99"/>
      <c r="M8" s="99"/>
      <c r="N8" s="99"/>
    </row>
    <row r="9" spans="1:14" s="99" customFormat="1" ht="15.75"/>
    <row r="10" spans="1:14" s="99" customFormat="1" ht="15.75"/>
    <row r="11" spans="1:14" s="103" customFormat="1" ht="20.100000000000001" customHeight="1">
      <c r="A11" s="149" t="s">
        <v>55</v>
      </c>
      <c r="B11" s="150"/>
      <c r="C11" s="39">
        <v>0.5</v>
      </c>
      <c r="F11" s="99"/>
      <c r="G11" s="99"/>
      <c r="H11" s="99"/>
      <c r="I11" s="99"/>
      <c r="J11" s="99"/>
      <c r="K11" s="99"/>
      <c r="L11" s="99"/>
      <c r="M11" s="99"/>
      <c r="N11" s="99"/>
    </row>
    <row r="12" spans="1:14" s="103" customFormat="1" ht="20.100000000000001" customHeight="1">
      <c r="A12" s="149" t="s">
        <v>56</v>
      </c>
      <c r="B12" s="150"/>
      <c r="C12" s="39">
        <f>VLOOKUP('P. O.'!B4,DADOS!B:F,5,0)</f>
        <v>0.05</v>
      </c>
      <c r="F12" s="99"/>
      <c r="G12" s="99"/>
      <c r="H12" s="99"/>
      <c r="I12" s="99"/>
      <c r="J12" s="99"/>
      <c r="K12" s="99"/>
      <c r="L12" s="99"/>
      <c r="M12" s="99"/>
      <c r="N12" s="99"/>
    </row>
    <row r="13" spans="1:14" s="99" customFormat="1" ht="15.75"/>
    <row r="14" spans="1:14" s="99" customFormat="1" ht="15.75"/>
    <row r="15" spans="1:14" s="99" customFormat="1" ht="15.75"/>
    <row r="16" spans="1:14" s="99" customFormat="1" ht="38.25" customHeight="1">
      <c r="A16" s="37" t="s">
        <v>57</v>
      </c>
      <c r="B16" s="37" t="s">
        <v>58</v>
      </c>
      <c r="C16" s="40" t="s">
        <v>59</v>
      </c>
    </row>
    <row r="17" spans="1:3" s="99" customFormat="1" ht="20.100000000000001" customHeight="1">
      <c r="A17" s="41" t="s">
        <v>62</v>
      </c>
      <c r="B17" s="41" t="s">
        <v>63</v>
      </c>
      <c r="C17" s="39">
        <f>IF($A$8=DADOS!J1,DADOS!K3,IF($A$8=DADOS!O1,DADOS!P3,IF($A$8=DADOS!T1,DADOS!U3,IF($A$8=DADOS!Y1,DADOS!Z3,IF($A$8=DADOS!AD1,DADOS!AE3,IF($A$8=DADOS!AI1,DADOS!AJ3,0))))))</f>
        <v>4.4999999999999998E-2</v>
      </c>
    </row>
    <row r="18" spans="1:3" s="99" customFormat="1" ht="20.100000000000001" customHeight="1">
      <c r="A18" s="41" t="s">
        <v>64</v>
      </c>
      <c r="B18" s="41" t="s">
        <v>65</v>
      </c>
      <c r="C18" s="39">
        <f>IF($A$8=DADOS!J1,DADOS!K4,IF($A$8=DADOS!O1,DADOS!P4,IF($A$8=DADOS!T1,DADOS!U4,IF($A$8=DADOS!Y1,DADOS!Z4,IF($A$8=DADOS!AD1,DADOS!AE4,IF($A$8=DADOS!AI1,DADOS!AJ4,0))))))</f>
        <v>8.0000000000000002E-3</v>
      </c>
    </row>
    <row r="19" spans="1:3" s="99" customFormat="1" ht="20.100000000000001" customHeight="1">
      <c r="A19" s="41" t="s">
        <v>66</v>
      </c>
      <c r="B19" s="41" t="s">
        <v>67</v>
      </c>
      <c r="C19" s="39">
        <f>IF($A$8=DADOS!J1,DADOS!K5,IF($A$8=DADOS!O1,DADOS!P5,IF($A$8=DADOS!T1,DADOS!U5,IF($A$8=DADOS!Y1,DADOS!Z5,IF($A$8=DADOS!AD1,DADOS!AE5,IF($A$8=DADOS!AI1,DADOS!AJ5,0))))))</f>
        <v>1.06E-2</v>
      </c>
    </row>
    <row r="20" spans="1:3" s="99" customFormat="1" ht="20.100000000000001" customHeight="1">
      <c r="A20" s="41" t="s">
        <v>68</v>
      </c>
      <c r="B20" s="41" t="s">
        <v>69</v>
      </c>
      <c r="C20" s="39">
        <f>IF($A$8=DADOS!J1,DADOS!K6,IF($A$8=DADOS!O1,DADOS!P6,IF($A$8=DADOS!T1,DADOS!U6,IF($A$8=DADOS!Y1,DADOS!Z6,IF($A$8=DADOS!AD1,DADOS!AE6,IF($A$8=DADOS!AI1,DADOS!AJ6,0))))))</f>
        <v>1.23E-2</v>
      </c>
    </row>
    <row r="21" spans="1:3" s="99" customFormat="1" ht="20.100000000000001" customHeight="1">
      <c r="A21" s="41" t="s">
        <v>70</v>
      </c>
      <c r="B21" s="41" t="s">
        <v>71</v>
      </c>
      <c r="C21" s="39">
        <f>IF($A$8=DADOS!J1,DADOS!K7,IF($A$8=DADOS!O1,DADOS!P7,IF($A$8=DADOS!T1,DADOS!U7,IF($A$8=DADOS!Y1,DADOS!Z7,IF($A$8=DADOS!AD1,DADOS!AE7,IF($A$8=DADOS!AI1,DADOS!AJ7,0))))))</f>
        <v>7.400000000000001E-2</v>
      </c>
    </row>
    <row r="22" spans="1:3" s="99" customFormat="1" ht="20.100000000000001" customHeight="1">
      <c r="A22" s="41" t="s">
        <v>72</v>
      </c>
      <c r="B22" s="41" t="s">
        <v>73</v>
      </c>
      <c r="C22" s="39">
        <f>IF($A$8=DADOS!J1,DADOS!K8,IF($A$8=DADOS!O1,DADOS!P8,IF($A$8=DADOS!T1,DADOS!U8,IF($A$8=DADOS!Y1,DADOS!Z8,IF($A$8=DADOS!AD1,DADOS!AE8,IF($A$8=DADOS!AI1,DADOS!AJ8,0))))))</f>
        <v>3.6499999999999998E-2</v>
      </c>
    </row>
    <row r="23" spans="1:3" s="99" customFormat="1" ht="20.100000000000001" customHeight="1">
      <c r="A23" s="41" t="s">
        <v>74</v>
      </c>
      <c r="B23" s="41" t="s">
        <v>75</v>
      </c>
      <c r="C23" s="39">
        <f>IF($A$8=DADOS!J1,DADOS!L9,IF($A$8=DADOS!O1,DADOS!P9,IF($A$8=DADOS!T1,DADOS!U9,IF($A$8=DADOS!Y1,DADOS!Z9,IF($A$8=DADOS!AD1,DADOS!AE9,IF($A$8=DADOS!AI1,DADOS!AJ9,0))))))</f>
        <v>2.5000000000000001E-2</v>
      </c>
    </row>
    <row r="24" spans="1:3" s="99" customFormat="1" ht="20.100000000000001" customHeight="1">
      <c r="A24" s="41" t="s">
        <v>76</v>
      </c>
      <c r="B24" s="41" t="s">
        <v>77</v>
      </c>
      <c r="C24" s="39">
        <f>IF('P. O.'!F8="NÃO DESONERADO",0,4.5%)</f>
        <v>0</v>
      </c>
    </row>
    <row r="25" spans="1:3" s="99" customFormat="1" ht="20.100000000000001" customHeight="1">
      <c r="A25" s="60"/>
      <c r="B25" s="38"/>
      <c r="C25" s="38"/>
    </row>
    <row r="26" spans="1:3" s="99" customFormat="1" ht="22.5" customHeight="1">
      <c r="A26" s="151" t="str">
        <f>IF('P. O.'!F8="NÃO DESONERADO","BDI SEM DESONERAÇÃO (Fórmula Acórdão TCU)","BDI COM DESONERAÇÃO (Fórmula Acórdão TCU)")</f>
        <v>BDI SEM DESONERAÇÃO (Fórmula Acórdão TCU)</v>
      </c>
      <c r="B26" s="152"/>
      <c r="C26" s="43">
        <f>(((1+C17+C18+C19)*(1+C20)*(1+C21))/(1-C22-C23-C24))-1</f>
        <v>0.23213294482685121</v>
      </c>
    </row>
    <row r="27" spans="1:3" s="99" customFormat="1" ht="15.75"/>
    <row r="28" spans="1:3" s="99" customFormat="1" ht="15.75"/>
    <row r="29" spans="1:3" s="99" customFormat="1" ht="15.75"/>
    <row r="30" spans="1:3" s="99" customFormat="1" ht="15.75"/>
    <row r="31" spans="1:3" s="99" customFormat="1" ht="15.75"/>
    <row r="32" spans="1:3" s="99" customFormat="1" ht="15.75"/>
    <row r="33" spans="1:2" s="99" customFormat="1" ht="15.75"/>
    <row r="34" spans="1:2" s="99" customFormat="1" ht="15.75">
      <c r="A34" s="44" t="str">
        <f>VLOOKUP('P. O.'!B4,DADOS!B:F,4,0)</f>
        <v>Santos Dumont - MG</v>
      </c>
    </row>
    <row r="35" spans="1:2" s="99" customFormat="1" ht="15.75">
      <c r="A35" s="45" t="s">
        <v>162</v>
      </c>
    </row>
    <row r="36" spans="1:2" s="99" customFormat="1" ht="15.75">
      <c r="A36" s="38"/>
    </row>
    <row r="37" spans="1:2" s="99" customFormat="1" ht="15.75">
      <c r="A37" s="91">
        <f>'P. O.'!I4</f>
        <v>45419</v>
      </c>
    </row>
    <row r="38" spans="1:2" s="99" customFormat="1" ht="15.75">
      <c r="A38" s="45" t="s">
        <v>181</v>
      </c>
    </row>
    <row r="39" spans="1:2" s="99" customFormat="1" ht="15.75">
      <c r="B39" s="100"/>
    </row>
    <row r="40" spans="1:2" s="99" customFormat="1" ht="15.75">
      <c r="B40" s="100"/>
    </row>
    <row r="41" spans="1:2" s="99" customFormat="1" ht="15.75">
      <c r="B41" s="100"/>
    </row>
    <row r="42" spans="1:2" s="99" customFormat="1" ht="15.75">
      <c r="A42" s="99" t="s">
        <v>204</v>
      </c>
    </row>
    <row r="43" spans="1:2" s="99" customFormat="1" ht="15.75">
      <c r="A43" s="100" t="str">
        <f>'P. O.'!B52</f>
        <v>Prefeitura Municipal De Santos Dumont</v>
      </c>
    </row>
    <row r="44" spans="1:2" s="99" customFormat="1" ht="15.75">
      <c r="A44" s="99" t="str">
        <f>'P. O.'!B53</f>
        <v>Carlos Alberto De Azevedo</v>
      </c>
    </row>
    <row r="45" spans="1:2" s="99" customFormat="1" ht="15.75">
      <c r="A45" s="99" t="str">
        <f>'P. O.'!B54</f>
        <v>Prefeito Municipal De Santos Dumont</v>
      </c>
    </row>
    <row r="46" spans="1:2" s="99" customFormat="1" ht="15.75"/>
    <row r="47" spans="1:2" s="99" customFormat="1" ht="15.75"/>
    <row r="48" spans="1:2" s="99" customFormat="1" ht="15.75"/>
    <row r="49" spans="1:1" s="99" customFormat="1" ht="15.75">
      <c r="A49" s="99" t="s">
        <v>204</v>
      </c>
    </row>
    <row r="50" spans="1:1" s="99" customFormat="1" ht="15.75">
      <c r="A50" s="100" t="s">
        <v>38</v>
      </c>
    </row>
    <row r="51" spans="1:1" s="99" customFormat="1" ht="15.75">
      <c r="A51" s="99" t="str">
        <f>'P. O.'!G53</f>
        <v>Pedro Giovanni Vieira Vidal</v>
      </c>
    </row>
    <row r="52" spans="1:1" s="99" customFormat="1" ht="15.75">
      <c r="A52" s="99" t="str">
        <f>'P. O.'!G54</f>
        <v>Engenheiro Civil</v>
      </c>
    </row>
    <row r="53" spans="1:1" s="99" customFormat="1" ht="15.75">
      <c r="A53" s="99" t="str">
        <f>'P. O.'!G55</f>
        <v>CREA-MG 59.552/D</v>
      </c>
    </row>
    <row r="54" spans="1:1">
      <c r="A54" s="101"/>
    </row>
  </sheetData>
  <protectedRanges>
    <protectedRange password="E125" sqref="C11:C26" name="Intervalo1"/>
  </protectedRanges>
  <mergeCells count="10">
    <mergeCell ref="A11:B11"/>
    <mergeCell ref="A12:B12"/>
    <mergeCell ref="A26:B26"/>
    <mergeCell ref="A1:C1"/>
    <mergeCell ref="A2:C2"/>
    <mergeCell ref="A3:C3"/>
    <mergeCell ref="A4:C4"/>
    <mergeCell ref="A5:C5"/>
    <mergeCell ref="A7:C7"/>
    <mergeCell ref="A8:C8"/>
  </mergeCells>
  <pageMargins left="0.511811024" right="0.511811024" top="0.48" bottom="0.78740157499999996" header="0.31496062000000002" footer="0.31496062000000002"/>
  <pageSetup paperSize="9" scale="80" orientation="portrait" r:id="rId1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D578BD12-1718-40EB-AFFA-44F550DC7B80}">
          <x14:formula1>
            <xm:f>DADOS!$AM$2:$AM$7</xm:f>
          </x14:formula1>
          <xm:sqref>A8:C8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58"/>
  <sheetViews>
    <sheetView view="pageBreakPreview" topLeftCell="A44" zoomScaleSheetLayoutView="100" workbookViewId="0">
      <selection activeCell="J11" sqref="J11"/>
    </sheetView>
  </sheetViews>
  <sheetFormatPr defaultRowHeight="15"/>
  <cols>
    <col min="2" max="2" width="9.140625" customWidth="1"/>
    <col min="3" max="4" width="12.7109375" customWidth="1"/>
    <col min="5" max="5" width="77.5703125" customWidth="1"/>
    <col min="6" max="6" width="9.140625" customWidth="1"/>
    <col min="7" max="7" width="11.140625" style="3" customWidth="1"/>
    <col min="8" max="10" width="15.7109375" customWidth="1"/>
    <col min="11" max="12" width="11.7109375" customWidth="1"/>
    <col min="13" max="13" width="54.140625" customWidth="1"/>
  </cols>
  <sheetData>
    <row r="1" spans="2:13" ht="120" customHeight="1">
      <c r="B1" s="157"/>
      <c r="C1" s="158"/>
      <c r="D1" s="158"/>
      <c r="E1" s="158"/>
      <c r="F1" s="158"/>
      <c r="G1" s="158"/>
      <c r="H1" s="158"/>
      <c r="I1" s="158"/>
      <c r="J1" s="159"/>
    </row>
    <row r="2" spans="2:13" s="36" customFormat="1" ht="24.95" customHeight="1">
      <c r="B2" s="160" t="s">
        <v>79</v>
      </c>
      <c r="C2" s="161"/>
      <c r="D2" s="161"/>
      <c r="E2" s="161"/>
      <c r="F2" s="161"/>
      <c r="G2" s="161"/>
      <c r="H2" s="161"/>
      <c r="I2" s="161"/>
      <c r="J2" s="162"/>
      <c r="M2" s="94"/>
    </row>
    <row r="3" spans="2:13" s="36" customFormat="1" ht="20.100000000000001" customHeight="1">
      <c r="B3" s="63" t="s">
        <v>84</v>
      </c>
      <c r="C3" s="64"/>
      <c r="D3" s="64"/>
      <c r="E3" s="69"/>
      <c r="F3" s="171" t="s">
        <v>203</v>
      </c>
      <c r="G3" s="172"/>
      <c r="H3" s="173"/>
      <c r="I3" s="172" t="s">
        <v>81</v>
      </c>
      <c r="J3" s="174"/>
      <c r="M3" s="95"/>
    </row>
    <row r="4" spans="2:13" s="36" customFormat="1">
      <c r="B4" s="184" t="s">
        <v>143</v>
      </c>
      <c r="C4" s="185"/>
      <c r="D4" s="185"/>
      <c r="E4" s="186"/>
      <c r="F4" s="165" t="s">
        <v>262</v>
      </c>
      <c r="G4" s="166"/>
      <c r="H4" s="167"/>
      <c r="I4" s="175">
        <v>45419</v>
      </c>
      <c r="J4" s="176"/>
    </row>
    <row r="5" spans="2:13" s="36" customFormat="1">
      <c r="B5" s="63" t="s">
        <v>85</v>
      </c>
      <c r="C5" s="64"/>
      <c r="D5" s="64"/>
      <c r="E5" s="69"/>
      <c r="F5" s="165" t="s">
        <v>263</v>
      </c>
      <c r="G5" s="166"/>
      <c r="H5" s="167"/>
      <c r="I5" s="172" t="s">
        <v>82</v>
      </c>
      <c r="J5" s="174"/>
    </row>
    <row r="6" spans="2:13" s="67" customFormat="1">
      <c r="B6" s="140" t="s">
        <v>316</v>
      </c>
      <c r="C6" s="66"/>
      <c r="D6" s="66"/>
      <c r="E6" s="70"/>
      <c r="F6" s="165"/>
      <c r="G6" s="166"/>
      <c r="H6" s="167"/>
      <c r="I6" s="177">
        <f t="array" ref="I6">IF(B4=VLOOKUP('P. O.'!B4:B4,DADOS!B:F,1,0),VLOOKUP('P. O.'!B4:B4,DADOS!B:F,5,0),0)</f>
        <v>0.05</v>
      </c>
      <c r="J6" s="178"/>
    </row>
    <row r="7" spans="2:13" s="36" customFormat="1">
      <c r="B7" s="63" t="s">
        <v>86</v>
      </c>
      <c r="C7" s="64"/>
      <c r="D7" s="64"/>
      <c r="E7" s="64"/>
      <c r="F7" s="171" t="s">
        <v>83</v>
      </c>
      <c r="G7" s="172"/>
      <c r="H7" s="173"/>
      <c r="I7" s="171" t="s">
        <v>80</v>
      </c>
      <c r="J7" s="174"/>
      <c r="K7" s="62"/>
      <c r="L7" s="62"/>
    </row>
    <row r="8" spans="2:13" s="67" customFormat="1" ht="15.75" thickBot="1">
      <c r="B8" s="141" t="s">
        <v>317</v>
      </c>
      <c r="C8" s="72"/>
      <c r="D8" s="72"/>
      <c r="E8" s="73"/>
      <c r="F8" s="181" t="s">
        <v>160</v>
      </c>
      <c r="G8" s="182"/>
      <c r="H8" s="183"/>
      <c r="I8" s="179">
        <f>BDI!C26</f>
        <v>0.23213294482685121</v>
      </c>
      <c r="J8" s="180"/>
      <c r="K8" s="68"/>
      <c r="L8" s="68"/>
    </row>
    <row r="9" spans="2:13" ht="9.9499999999999993" customHeight="1"/>
    <row r="10" spans="2:13" ht="35.1" customHeight="1">
      <c r="B10" s="58" t="s">
        <v>0</v>
      </c>
      <c r="C10" s="58" t="s">
        <v>78</v>
      </c>
      <c r="D10" s="58" t="s">
        <v>1</v>
      </c>
      <c r="E10" s="58" t="s">
        <v>2</v>
      </c>
      <c r="F10" s="58" t="s">
        <v>3</v>
      </c>
      <c r="G10" s="59" t="s">
        <v>4</v>
      </c>
      <c r="H10" s="59" t="s">
        <v>41</v>
      </c>
      <c r="I10" s="59" t="s">
        <v>42</v>
      </c>
      <c r="J10" s="59" t="s">
        <v>5</v>
      </c>
      <c r="K10" s="1"/>
      <c r="L10" s="1"/>
      <c r="M10" s="92"/>
    </row>
    <row r="11" spans="2:13" ht="24.95" customHeight="1">
      <c r="B11" s="52">
        <v>1</v>
      </c>
      <c r="C11" s="52"/>
      <c r="D11" s="53"/>
      <c r="E11" s="54" t="s">
        <v>15</v>
      </c>
      <c r="F11" s="54"/>
      <c r="G11" s="55"/>
      <c r="H11" s="55"/>
      <c r="I11" s="56"/>
      <c r="J11" s="57">
        <f>SUM(J12:J12)</f>
        <v>1708.35</v>
      </c>
      <c r="K11" s="1"/>
      <c r="L11" s="1"/>
      <c r="M11" s="93"/>
    </row>
    <row r="12" spans="2:13" ht="58.5" customHeight="1">
      <c r="B12" s="48" t="s">
        <v>6</v>
      </c>
      <c r="C12" s="48" t="s">
        <v>228</v>
      </c>
      <c r="D12" s="49" t="s">
        <v>187</v>
      </c>
      <c r="E12" s="50" t="s">
        <v>188</v>
      </c>
      <c r="F12" s="49" t="s">
        <v>16</v>
      </c>
      <c r="G12" s="47">
        <v>1</v>
      </c>
      <c r="H12" s="47">
        <v>1386.5</v>
      </c>
      <c r="I12" s="47">
        <f>ROUND(H12*(1+$I$8),2)</f>
        <v>1708.35</v>
      </c>
      <c r="J12" s="51">
        <f>ROUND(I12*G12,2)</f>
        <v>1708.35</v>
      </c>
      <c r="K12" s="1"/>
      <c r="L12" s="1"/>
      <c r="M12" s="93"/>
    </row>
    <row r="13" spans="2:13" ht="24.95" customHeight="1">
      <c r="B13" s="52">
        <v>2</v>
      </c>
      <c r="C13" s="52"/>
      <c r="D13" s="53"/>
      <c r="E13" s="54" t="s">
        <v>271</v>
      </c>
      <c r="F13" s="54"/>
      <c r="G13" s="55"/>
      <c r="H13" s="55"/>
      <c r="I13" s="56"/>
      <c r="J13" s="57">
        <f>SUM(J14:J15)</f>
        <v>29856.59</v>
      </c>
      <c r="K13" s="1"/>
      <c r="L13" s="1"/>
      <c r="M13" s="93"/>
    </row>
    <row r="14" spans="2:13" ht="24.95" customHeight="1">
      <c r="B14" s="48" t="s">
        <v>251</v>
      </c>
      <c r="C14" s="48" t="s">
        <v>189</v>
      </c>
      <c r="D14" s="49" t="s">
        <v>272</v>
      </c>
      <c r="E14" s="50" t="s">
        <v>273</v>
      </c>
      <c r="F14" s="49" t="s">
        <v>274</v>
      </c>
      <c r="G14" s="47">
        <v>55</v>
      </c>
      <c r="H14" s="47" t="s">
        <v>279</v>
      </c>
      <c r="I14" s="47">
        <f>ROUND(H14*(1+$I$8),2)</f>
        <v>150.31</v>
      </c>
      <c r="J14" s="51">
        <f>ROUND(I14*G14,2)</f>
        <v>8267.0499999999993</v>
      </c>
      <c r="K14" s="1"/>
      <c r="L14" s="1"/>
      <c r="M14" s="93"/>
    </row>
    <row r="15" spans="2:13" ht="24.95" customHeight="1">
      <c r="B15" s="48" t="s">
        <v>266</v>
      </c>
      <c r="C15" s="48" t="s">
        <v>189</v>
      </c>
      <c r="D15" s="49" t="s">
        <v>275</v>
      </c>
      <c r="E15" s="50" t="s">
        <v>276</v>
      </c>
      <c r="F15" s="49" t="s">
        <v>277</v>
      </c>
      <c r="G15" s="47">
        <v>2</v>
      </c>
      <c r="H15" s="47" t="s">
        <v>278</v>
      </c>
      <c r="I15" s="47">
        <f>ROUND(H15*(1+$I$8),2)</f>
        <v>10794.77</v>
      </c>
      <c r="J15" s="51">
        <f>ROUND(I15*G15,2)</f>
        <v>21589.54</v>
      </c>
      <c r="K15" s="1"/>
      <c r="L15" s="1"/>
      <c r="M15" s="93"/>
    </row>
    <row r="16" spans="2:13" ht="24.95" customHeight="1">
      <c r="B16" s="52">
        <v>3</v>
      </c>
      <c r="C16" s="52"/>
      <c r="D16" s="53"/>
      <c r="E16" s="54" t="s">
        <v>18</v>
      </c>
      <c r="F16" s="54"/>
      <c r="G16" s="55"/>
      <c r="H16" s="55"/>
      <c r="I16" s="56"/>
      <c r="J16" s="57">
        <f>SUM(J17:J23)</f>
        <v>5772.26</v>
      </c>
      <c r="K16" s="1"/>
      <c r="L16" s="1"/>
      <c r="M16" s="93"/>
    </row>
    <row r="17" spans="2:13" ht="24.95" customHeight="1">
      <c r="B17" s="48" t="s">
        <v>252</v>
      </c>
      <c r="C17" s="48" t="s">
        <v>189</v>
      </c>
      <c r="D17" s="49" t="s">
        <v>231</v>
      </c>
      <c r="E17" s="50" t="s">
        <v>232</v>
      </c>
      <c r="F17" s="49" t="s">
        <v>17</v>
      </c>
      <c r="G17" s="47">
        <f>0.9*2.1</f>
        <v>1.8900000000000001</v>
      </c>
      <c r="H17" s="47" t="s">
        <v>243</v>
      </c>
      <c r="I17" s="47">
        <f>ROUND(H17*(1+$I$8),2)</f>
        <v>11.18</v>
      </c>
      <c r="J17" s="51">
        <f t="shared" ref="J17:J22" si="0">ROUND(I17*G17,2)</f>
        <v>21.13</v>
      </c>
      <c r="K17" s="1"/>
      <c r="L17" s="1"/>
      <c r="M17" s="93"/>
    </row>
    <row r="18" spans="2:13" ht="34.5" customHeight="1">
      <c r="B18" s="48" t="s">
        <v>253</v>
      </c>
      <c r="C18" s="48" t="s">
        <v>228</v>
      </c>
      <c r="D18" s="49" t="s">
        <v>233</v>
      </c>
      <c r="E18" s="50" t="s">
        <v>234</v>
      </c>
      <c r="F18" s="49" t="s">
        <v>17</v>
      </c>
      <c r="G18" s="47">
        <f>4.49*2.83-(0.6*2.1+0.6*0.6)+4*1+72</f>
        <v>87.086700000000008</v>
      </c>
      <c r="H18" s="47">
        <v>9.83</v>
      </c>
      <c r="I18" s="47">
        <f t="shared" ref="I18:I22" si="1">ROUND(H18*(1+$I$8),2)</f>
        <v>12.11</v>
      </c>
      <c r="J18" s="51">
        <f t="shared" si="0"/>
        <v>1054.6199999999999</v>
      </c>
      <c r="K18" s="1"/>
      <c r="L18" s="1"/>
      <c r="M18" s="93"/>
    </row>
    <row r="19" spans="2:13" ht="45.75" customHeight="1">
      <c r="B19" s="48" t="s">
        <v>283</v>
      </c>
      <c r="C19" s="48" t="s">
        <v>228</v>
      </c>
      <c r="D19" s="49" t="s">
        <v>239</v>
      </c>
      <c r="E19" s="50" t="s">
        <v>240</v>
      </c>
      <c r="F19" s="49" t="s">
        <v>17</v>
      </c>
      <c r="G19" s="47">
        <f>29.75+11.6+47.42</f>
        <v>88.77000000000001</v>
      </c>
      <c r="H19" s="47">
        <v>20.48</v>
      </c>
      <c r="I19" s="47">
        <f t="shared" ref="I19:I20" si="2">ROUND(H19*(1+$I$8),2)</f>
        <v>25.23</v>
      </c>
      <c r="J19" s="51">
        <f t="shared" ref="J19:J20" si="3">ROUND(I19*G19,2)</f>
        <v>2239.67</v>
      </c>
      <c r="K19" s="1"/>
      <c r="L19" s="1"/>
      <c r="M19" s="93"/>
    </row>
    <row r="20" spans="2:13" ht="45.75" customHeight="1">
      <c r="B20" s="48" t="s">
        <v>284</v>
      </c>
      <c r="C20" s="48" t="s">
        <v>228</v>
      </c>
      <c r="D20" s="49" t="s">
        <v>241</v>
      </c>
      <c r="E20" s="50" t="s">
        <v>242</v>
      </c>
      <c r="F20" s="49" t="s">
        <v>17</v>
      </c>
      <c r="G20" s="47">
        <f>22.91*1.2-(0.7*2.1+2*1.2*1.5+1.5*1.5)</f>
        <v>20.172000000000001</v>
      </c>
      <c r="H20" s="47">
        <v>24.57</v>
      </c>
      <c r="I20" s="47">
        <f t="shared" si="2"/>
        <v>30.27</v>
      </c>
      <c r="J20" s="51">
        <f t="shared" si="3"/>
        <v>610.61</v>
      </c>
      <c r="K20" s="1"/>
      <c r="L20" s="1"/>
      <c r="M20" s="142"/>
    </row>
    <row r="21" spans="2:13" ht="58.5" customHeight="1">
      <c r="B21" s="48" t="s">
        <v>285</v>
      </c>
      <c r="C21" s="48" t="s">
        <v>228</v>
      </c>
      <c r="D21" s="49" t="s">
        <v>235</v>
      </c>
      <c r="E21" s="50" t="s">
        <v>236</v>
      </c>
      <c r="F21" s="49" t="s">
        <v>17</v>
      </c>
      <c r="G21" s="47">
        <f>20.67+29.75+11.6+47.42</f>
        <v>109.44</v>
      </c>
      <c r="H21" s="47">
        <v>2.08</v>
      </c>
      <c r="I21" s="47">
        <f t="shared" si="1"/>
        <v>2.56</v>
      </c>
      <c r="J21" s="51">
        <f t="shared" si="0"/>
        <v>280.17</v>
      </c>
      <c r="K21" s="1"/>
      <c r="L21" s="1"/>
      <c r="M21" s="93"/>
    </row>
    <row r="22" spans="2:13" ht="24.95" customHeight="1">
      <c r="B22" s="48" t="s">
        <v>286</v>
      </c>
      <c r="C22" s="48" t="s">
        <v>228</v>
      </c>
      <c r="D22" s="49" t="s">
        <v>190</v>
      </c>
      <c r="E22" s="50" t="s">
        <v>191</v>
      </c>
      <c r="F22" s="49" t="s">
        <v>19</v>
      </c>
      <c r="G22" s="47">
        <f>G17*0.15+G18*0.05+G19*0.1+G20*0.1+G21*0.05</f>
        <v>21.004035000000002</v>
      </c>
      <c r="H22" s="47">
        <v>39.9</v>
      </c>
      <c r="I22" s="47">
        <f t="shared" si="1"/>
        <v>49.16</v>
      </c>
      <c r="J22" s="51">
        <f t="shared" si="0"/>
        <v>1032.56</v>
      </c>
      <c r="K22" s="1"/>
      <c r="L22" s="1"/>
      <c r="M22" s="93"/>
    </row>
    <row r="23" spans="2:13" ht="45.75" customHeight="1">
      <c r="B23" s="48" t="s">
        <v>287</v>
      </c>
      <c r="C23" s="48" t="s">
        <v>228</v>
      </c>
      <c r="D23" s="49" t="s">
        <v>192</v>
      </c>
      <c r="E23" s="50" t="s">
        <v>193</v>
      </c>
      <c r="F23" s="49" t="s">
        <v>194</v>
      </c>
      <c r="G23" s="47">
        <f>G22*10</f>
        <v>210.04035000000002</v>
      </c>
      <c r="H23" s="47">
        <v>2.06</v>
      </c>
      <c r="I23" s="47">
        <f t="shared" ref="I23" si="4">ROUND(H23*(1+$I$8),2)</f>
        <v>2.54</v>
      </c>
      <c r="J23" s="51">
        <f t="shared" ref="J23" si="5">ROUND(I23*G23,2)</f>
        <v>533.5</v>
      </c>
      <c r="K23" s="1"/>
      <c r="L23" s="1"/>
      <c r="M23" s="93"/>
    </row>
    <row r="24" spans="2:13" ht="24.95" customHeight="1">
      <c r="B24" s="52">
        <v>4</v>
      </c>
      <c r="C24" s="52"/>
      <c r="D24" s="53"/>
      <c r="E24" s="54" t="s">
        <v>22</v>
      </c>
      <c r="F24" s="54"/>
      <c r="G24" s="55"/>
      <c r="H24" s="55"/>
      <c r="I24" s="56"/>
      <c r="J24" s="57">
        <f>SUM(J25:J26)</f>
        <v>5766.2199999999993</v>
      </c>
      <c r="K24" s="1"/>
      <c r="L24" s="1"/>
      <c r="M24" s="93"/>
    </row>
    <row r="25" spans="2:13" ht="45" customHeight="1">
      <c r="B25" s="48" t="s">
        <v>254</v>
      </c>
      <c r="C25" s="48" t="s">
        <v>228</v>
      </c>
      <c r="D25" s="49" t="s">
        <v>44</v>
      </c>
      <c r="E25" s="50" t="s">
        <v>195</v>
      </c>
      <c r="F25" s="49" t="s">
        <v>17</v>
      </c>
      <c r="G25" s="47">
        <f>G18+G20</f>
        <v>107.2587</v>
      </c>
      <c r="H25" s="47">
        <v>9.14</v>
      </c>
      <c r="I25" s="47">
        <f t="shared" ref="I25:I26" si="6">ROUND(H25*(1+$I$8),2)</f>
        <v>11.26</v>
      </c>
      <c r="J25" s="51">
        <f t="shared" ref="J25:J31" si="7">ROUND(I25*G25,2)</f>
        <v>1207.73</v>
      </c>
      <c r="K25" s="1"/>
      <c r="L25" s="1"/>
      <c r="M25" s="93"/>
    </row>
    <row r="26" spans="2:13" ht="34.5" customHeight="1">
      <c r="B26" s="48" t="s">
        <v>255</v>
      </c>
      <c r="C26" s="48" t="s">
        <v>228</v>
      </c>
      <c r="D26" s="49" t="s">
        <v>244</v>
      </c>
      <c r="E26" s="50" t="s">
        <v>245</v>
      </c>
      <c r="F26" s="49" t="s">
        <v>17</v>
      </c>
      <c r="G26" s="47">
        <f>G25</f>
        <v>107.2587</v>
      </c>
      <c r="H26" s="47">
        <v>34.49</v>
      </c>
      <c r="I26" s="47">
        <f t="shared" si="6"/>
        <v>42.5</v>
      </c>
      <c r="J26" s="51">
        <f t="shared" si="7"/>
        <v>4558.49</v>
      </c>
      <c r="K26" s="1"/>
      <c r="L26" s="1"/>
      <c r="M26" s="93"/>
    </row>
    <row r="27" spans="2:13" ht="24.95" customHeight="1">
      <c r="B27" s="52">
        <v>5</v>
      </c>
      <c r="C27" s="52"/>
      <c r="D27" s="53"/>
      <c r="E27" s="54" t="s">
        <v>196</v>
      </c>
      <c r="F27" s="54"/>
      <c r="G27" s="55"/>
      <c r="H27" s="55"/>
      <c r="I27" s="56"/>
      <c r="J27" s="57">
        <f>SUM(J28:J31)</f>
        <v>19898.729999999996</v>
      </c>
      <c r="K27" s="1"/>
      <c r="L27" s="1"/>
      <c r="M27" s="93"/>
    </row>
    <row r="28" spans="2:13" ht="24.95" customHeight="1">
      <c r="B28" s="48" t="s">
        <v>256</v>
      </c>
      <c r="C28" s="48" t="s">
        <v>189</v>
      </c>
      <c r="D28" s="49" t="s">
        <v>280</v>
      </c>
      <c r="E28" s="50" t="s">
        <v>281</v>
      </c>
      <c r="F28" s="49" t="s">
        <v>19</v>
      </c>
      <c r="G28" s="47">
        <v>4.8</v>
      </c>
      <c r="H28" s="47" t="s">
        <v>282</v>
      </c>
      <c r="I28" s="47">
        <f t="shared" ref="I28" si="8">ROUND(H28*(1+$I$8),2)</f>
        <v>908.22</v>
      </c>
      <c r="J28" s="51">
        <f t="shared" ref="J28" si="9">ROUND(I28*G28,2)</f>
        <v>4359.46</v>
      </c>
      <c r="K28" s="1"/>
      <c r="L28" s="1"/>
      <c r="M28" s="93"/>
    </row>
    <row r="29" spans="2:13" ht="24.95" customHeight="1">
      <c r="B29" s="48" t="s">
        <v>288</v>
      </c>
      <c r="C29" s="48" t="s">
        <v>228</v>
      </c>
      <c r="D29" s="49" t="s">
        <v>46</v>
      </c>
      <c r="E29" s="50" t="s">
        <v>29</v>
      </c>
      <c r="F29" s="49" t="s">
        <v>17</v>
      </c>
      <c r="G29" s="47">
        <f>G19</f>
        <v>88.77000000000001</v>
      </c>
      <c r="H29" s="47">
        <v>42.27</v>
      </c>
      <c r="I29" s="47">
        <f t="shared" ref="I29:I31" si="10">ROUND(H29*(1+$I$8),2)</f>
        <v>52.08</v>
      </c>
      <c r="J29" s="51">
        <f t="shared" si="7"/>
        <v>4623.1400000000003</v>
      </c>
      <c r="K29" s="1"/>
      <c r="L29" s="1"/>
      <c r="M29" s="93"/>
    </row>
    <row r="30" spans="2:13" ht="45" customHeight="1">
      <c r="B30" s="48" t="s">
        <v>289</v>
      </c>
      <c r="C30" s="48" t="s">
        <v>228</v>
      </c>
      <c r="D30" s="49" t="s">
        <v>45</v>
      </c>
      <c r="E30" s="50" t="s">
        <v>28</v>
      </c>
      <c r="F30" s="49" t="s">
        <v>17</v>
      </c>
      <c r="G30" s="47">
        <f>G29</f>
        <v>88.77000000000001</v>
      </c>
      <c r="H30" s="47">
        <v>91.52</v>
      </c>
      <c r="I30" s="47">
        <f t="shared" si="10"/>
        <v>112.76</v>
      </c>
      <c r="J30" s="51">
        <f t="shared" si="7"/>
        <v>10009.709999999999</v>
      </c>
      <c r="K30" s="1"/>
      <c r="L30" s="1"/>
      <c r="M30" s="93"/>
    </row>
    <row r="31" spans="2:13" ht="34.5" customHeight="1">
      <c r="B31" s="48" t="s">
        <v>290</v>
      </c>
      <c r="C31" s="48" t="s">
        <v>228</v>
      </c>
      <c r="D31" s="49" t="s">
        <v>47</v>
      </c>
      <c r="E31" s="50" t="s">
        <v>30</v>
      </c>
      <c r="F31" s="49" t="s">
        <v>20</v>
      </c>
      <c r="G31" s="47">
        <f>21.9-1.1-0.8+13.84-0.7+27.86-1.1-0.85</f>
        <v>59.04999999999999</v>
      </c>
      <c r="H31" s="47">
        <v>12.46</v>
      </c>
      <c r="I31" s="47">
        <f t="shared" si="10"/>
        <v>15.35</v>
      </c>
      <c r="J31" s="51">
        <f t="shared" si="7"/>
        <v>906.42</v>
      </c>
      <c r="K31" s="1"/>
      <c r="L31" s="1"/>
      <c r="M31" s="93"/>
    </row>
    <row r="32" spans="2:13" ht="24.95" customHeight="1">
      <c r="B32" s="52">
        <v>6</v>
      </c>
      <c r="C32" s="52"/>
      <c r="D32" s="53"/>
      <c r="E32" s="54" t="s">
        <v>25</v>
      </c>
      <c r="F32" s="54"/>
      <c r="G32" s="55"/>
      <c r="H32" s="55"/>
      <c r="I32" s="56"/>
      <c r="J32" s="57">
        <f>SUM(J33:J33)</f>
        <v>1343.07</v>
      </c>
      <c r="K32" s="1"/>
      <c r="L32" s="1"/>
      <c r="M32" s="93"/>
    </row>
    <row r="33" spans="2:13" ht="45.75" customHeight="1">
      <c r="B33" s="48" t="s">
        <v>257</v>
      </c>
      <c r="C33" s="48" t="s">
        <v>228</v>
      </c>
      <c r="D33" s="49" t="s">
        <v>48</v>
      </c>
      <c r="E33" s="50" t="s">
        <v>197</v>
      </c>
      <c r="F33" s="49" t="s">
        <v>16</v>
      </c>
      <c r="G33" s="47">
        <v>1</v>
      </c>
      <c r="H33" s="47">
        <v>1090.04</v>
      </c>
      <c r="I33" s="47">
        <f t="shared" ref="I33" si="11">ROUND(H33*(1+$I$8),2)</f>
        <v>1343.07</v>
      </c>
      <c r="J33" s="51">
        <f t="shared" ref="J33:J48" si="12">ROUND(I33*G33,2)</f>
        <v>1343.07</v>
      </c>
      <c r="K33" s="1"/>
      <c r="L33" s="1"/>
      <c r="M33" s="93"/>
    </row>
    <row r="34" spans="2:13" ht="24.95" customHeight="1">
      <c r="B34" s="52">
        <v>7</v>
      </c>
      <c r="C34" s="52"/>
      <c r="D34" s="53"/>
      <c r="E34" s="54" t="s">
        <v>26</v>
      </c>
      <c r="F34" s="54"/>
      <c r="G34" s="55"/>
      <c r="H34" s="55"/>
      <c r="I34" s="56"/>
      <c r="J34" s="57">
        <f>SUM(J35:J41)</f>
        <v>37523.050000000003</v>
      </c>
      <c r="K34" s="1"/>
      <c r="L34" s="1"/>
      <c r="M34" s="93"/>
    </row>
    <row r="35" spans="2:13" ht="24.95" customHeight="1">
      <c r="B35" s="48" t="s">
        <v>258</v>
      </c>
      <c r="C35" s="48" t="s">
        <v>228</v>
      </c>
      <c r="D35" s="49" t="s">
        <v>237</v>
      </c>
      <c r="E35" s="50" t="s">
        <v>238</v>
      </c>
      <c r="F35" s="49" t="s">
        <v>17</v>
      </c>
      <c r="G35" s="47">
        <f>15.6+31.78+8.59+1.13+29.52+11.14+1.37*9.63</f>
        <v>110.95310000000001</v>
      </c>
      <c r="H35" s="47">
        <v>3.47</v>
      </c>
      <c r="I35" s="47">
        <f t="shared" ref="I35" si="13">ROUND(H35*(1+$I$8),2)</f>
        <v>4.28</v>
      </c>
      <c r="J35" s="51">
        <f t="shared" ref="J35" si="14">ROUND(I35*G35,2)</f>
        <v>474.88</v>
      </c>
      <c r="K35" s="1"/>
      <c r="L35" s="1"/>
      <c r="M35" s="93"/>
    </row>
    <row r="36" spans="2:13" ht="24.95" customHeight="1">
      <c r="B36" s="48" t="s">
        <v>259</v>
      </c>
      <c r="C36" s="48" t="s">
        <v>228</v>
      </c>
      <c r="D36" s="49" t="s">
        <v>264</v>
      </c>
      <c r="E36" s="50" t="s">
        <v>265</v>
      </c>
      <c r="F36" s="49" t="s">
        <v>17</v>
      </c>
      <c r="G36" s="47">
        <f>G37</f>
        <v>1118.7282</v>
      </c>
      <c r="H36" s="47">
        <v>3.07</v>
      </c>
      <c r="I36" s="47">
        <f t="shared" ref="I36" si="15">ROUND(H36*(1+$I$8),2)</f>
        <v>3.78</v>
      </c>
      <c r="J36" s="51">
        <f t="shared" ref="J36" si="16">ROUND(I36*G36,2)</f>
        <v>4228.79</v>
      </c>
      <c r="K36" s="1"/>
      <c r="L36" s="1"/>
      <c r="M36" s="93"/>
    </row>
    <row r="37" spans="2:13" ht="34.5" customHeight="1">
      <c r="B37" s="48" t="s">
        <v>270</v>
      </c>
      <c r="C37" s="48" t="s">
        <v>228</v>
      </c>
      <c r="D37" s="49" t="s">
        <v>49</v>
      </c>
      <c r="E37" s="50" t="s">
        <v>31</v>
      </c>
      <c r="F37" s="49" t="s">
        <v>17</v>
      </c>
      <c r="G37" s="47">
        <f>1.3*3.8+25.74*3-(1.8*1.5+1*2.1)+21.48*2.83-(1.2*1.5+0.7*2.1)+23.1*1.73-(2*1.18*1.5+2*1.5+0.7*2.1)+12.84*2.83-(1.55*1.5+0.7*2.1)+1.37*9.63-(0.6*2.1+3*0.7*2.1+2*1.5)+21.9*2.83-(0.8*2.1+1.1*2.1+1.8*1.5)+39.54*2-(3*1.2*1.5+0.8*2.1+0.7*2.1+0.5*2.1+2*1+0.9*2.1)+22.92*2.7-(1.5*1.5+2*1.2*1.5+0.7*2.1)+14.16*2.6-(0.5*2.1+1*1.5)+9.7*2.7-(0.55*2.1)+27.86*2.8-(0.85*2.1+1.1*2.1+2*2*1.5+0.55*1.2)+13.84*3.82-(0.7*2.1+1.1*1.5)+84.89*2.8-(0.6*2.1+2*1.5*1.5+1*1.5+0.55*2.1+2*2*1.5+0.55*1+2*1.1*2.1+1.1*1.5+2*1.8*1.5+1*2.1+1.2*1.5+2*1.18*1.5+1.55*1.5+0.6*0.6)+14.63*1.3+1.68*4*3.8+G18+15.35*3-(0.6*2.1+1*2.1+0.9*2.1)+2.85*3-(2.85*2.1)+25.14*2.3-(1*2.1)+60.36*1.7+9.6*1.5-(2*0.6*0.6)+10.09*1.5-(2*0*60*60)</f>
        <v>1118.7282</v>
      </c>
      <c r="H37" s="47">
        <v>16.47</v>
      </c>
      <c r="I37" s="47">
        <f t="shared" ref="I37:I41" si="17">ROUND(H37*(1+$I$8),2)</f>
        <v>20.29</v>
      </c>
      <c r="J37" s="51">
        <f t="shared" si="12"/>
        <v>22699</v>
      </c>
      <c r="K37" s="1"/>
      <c r="L37" s="1"/>
      <c r="M37" s="93"/>
    </row>
    <row r="38" spans="2:13" ht="34.5" customHeight="1">
      <c r="B38" s="48" t="s">
        <v>260</v>
      </c>
      <c r="C38" s="48" t="s">
        <v>228</v>
      </c>
      <c r="D38" s="49" t="s">
        <v>50</v>
      </c>
      <c r="E38" s="50" t="s">
        <v>32</v>
      </c>
      <c r="F38" s="49" t="s">
        <v>17</v>
      </c>
      <c r="G38" s="47">
        <f>G35</f>
        <v>110.95310000000001</v>
      </c>
      <c r="H38" s="47">
        <v>18.11</v>
      </c>
      <c r="I38" s="47">
        <f t="shared" si="17"/>
        <v>22.31</v>
      </c>
      <c r="J38" s="51">
        <f t="shared" si="12"/>
        <v>2475.36</v>
      </c>
      <c r="K38" s="1"/>
      <c r="L38" s="1"/>
      <c r="M38" s="93"/>
    </row>
    <row r="39" spans="2:13" ht="34.5" customHeight="1">
      <c r="B39" s="48" t="s">
        <v>261</v>
      </c>
      <c r="C39" s="48" t="s">
        <v>228</v>
      </c>
      <c r="D39" s="49" t="s">
        <v>51</v>
      </c>
      <c r="E39" s="50" t="s">
        <v>33</v>
      </c>
      <c r="F39" s="49" t="s">
        <v>17</v>
      </c>
      <c r="G39" s="47">
        <f>(1*2.1+6*0.7*2.1+0.6*2.1+0.5*2.1+0.55*2.1+2*0.8*2.1+1.1*2.1+0.9*2.1)*2</f>
        <v>43.89</v>
      </c>
      <c r="H39" s="47">
        <v>30.69</v>
      </c>
      <c r="I39" s="47">
        <f t="shared" si="17"/>
        <v>37.81</v>
      </c>
      <c r="J39" s="51">
        <f t="shared" si="12"/>
        <v>1659.48</v>
      </c>
      <c r="K39" s="1"/>
      <c r="L39" s="1"/>
      <c r="M39" s="93"/>
    </row>
    <row r="40" spans="2:13" ht="34.5" customHeight="1">
      <c r="B40" s="48" t="s">
        <v>267</v>
      </c>
      <c r="C40" s="48" t="s">
        <v>228</v>
      </c>
      <c r="D40" s="49" t="s">
        <v>52</v>
      </c>
      <c r="E40" s="50" t="s">
        <v>34</v>
      </c>
      <c r="F40" s="49" t="s">
        <v>17</v>
      </c>
      <c r="G40" s="47">
        <f>7+15.6+15.8+101.45</f>
        <v>139.85000000000002</v>
      </c>
      <c r="H40" s="47">
        <v>23.84</v>
      </c>
      <c r="I40" s="47">
        <f t="shared" si="17"/>
        <v>29.37</v>
      </c>
      <c r="J40" s="51">
        <f t="shared" si="12"/>
        <v>4107.3900000000003</v>
      </c>
      <c r="K40" s="1"/>
      <c r="L40" s="1"/>
      <c r="M40" s="93"/>
    </row>
    <row r="41" spans="2:13" ht="34.5" customHeight="1">
      <c r="B41" s="48" t="s">
        <v>291</v>
      </c>
      <c r="C41" s="48" t="s">
        <v>228</v>
      </c>
      <c r="D41" s="49" t="s">
        <v>53</v>
      </c>
      <c r="E41" s="50" t="s">
        <v>35</v>
      </c>
      <c r="F41" s="49" t="s">
        <v>17</v>
      </c>
      <c r="G41" s="47">
        <f>0.6*2.1+0.8*2.1+4*1.2*1.5+3*2*1.5+2*1.8*1.5+2*1.18*1.5+2*1.5*1.5+1.55*1.5+1*1.5+0.55*0.6+5*0.6*0.6+1*2.1</f>
        <v>40.634999999999998</v>
      </c>
      <c r="H41" s="47">
        <v>37.51</v>
      </c>
      <c r="I41" s="47">
        <f t="shared" si="17"/>
        <v>46.22</v>
      </c>
      <c r="J41" s="51">
        <f t="shared" si="12"/>
        <v>1878.15</v>
      </c>
      <c r="K41" s="1"/>
      <c r="L41" s="1"/>
      <c r="M41" s="93"/>
    </row>
    <row r="42" spans="2:13" ht="24.95" customHeight="1">
      <c r="B42" s="52">
        <v>8</v>
      </c>
      <c r="C42" s="52"/>
      <c r="D42" s="53"/>
      <c r="E42" s="54" t="s">
        <v>27</v>
      </c>
      <c r="F42" s="54"/>
      <c r="G42" s="55"/>
      <c r="H42" s="55"/>
      <c r="I42" s="56"/>
      <c r="J42" s="57">
        <f>SUM(J43:J48)</f>
        <v>48404.909999999996</v>
      </c>
      <c r="K42" s="1"/>
      <c r="L42" s="1"/>
      <c r="M42" s="93"/>
    </row>
    <row r="43" spans="2:13" ht="34.5" customHeight="1">
      <c r="B43" s="48" t="s">
        <v>292</v>
      </c>
      <c r="C43" s="48" t="s">
        <v>228</v>
      </c>
      <c r="D43" s="49" t="s">
        <v>229</v>
      </c>
      <c r="E43" s="50" t="s">
        <v>230</v>
      </c>
      <c r="F43" s="49" t="s">
        <v>16</v>
      </c>
      <c r="G43" s="47">
        <v>2</v>
      </c>
      <c r="H43" s="47">
        <v>890.48</v>
      </c>
      <c r="I43" s="47">
        <f t="shared" ref="I43" si="18">ROUND(H43*(1+$I$8),2)</f>
        <v>1097.19</v>
      </c>
      <c r="J43" s="51">
        <f t="shared" ref="J43" si="19">ROUND(I43*G43,2)</f>
        <v>2194.38</v>
      </c>
      <c r="K43" s="1"/>
      <c r="L43" s="1"/>
      <c r="M43" s="93"/>
    </row>
    <row r="44" spans="2:13" ht="34.5" customHeight="1">
      <c r="B44" s="48" t="s">
        <v>293</v>
      </c>
      <c r="C44" s="48" t="s">
        <v>189</v>
      </c>
      <c r="D44" s="49" t="s">
        <v>246</v>
      </c>
      <c r="E44" s="50" t="s">
        <v>247</v>
      </c>
      <c r="F44" s="49" t="s">
        <v>17</v>
      </c>
      <c r="G44" s="47">
        <f>G21+1.87+1.88+20.59+2.18+2.11</f>
        <v>138.07000000000002</v>
      </c>
      <c r="H44" s="47" t="s">
        <v>248</v>
      </c>
      <c r="I44" s="47">
        <f t="shared" ref="I44" si="20">ROUND(H44*(1+$I$8),2)</f>
        <v>91.12</v>
      </c>
      <c r="J44" s="51">
        <f t="shared" ref="J44" si="21">ROUND(I44*G44,2)</f>
        <v>12580.94</v>
      </c>
      <c r="K44" s="1"/>
      <c r="L44" s="1"/>
      <c r="M44" s="93"/>
    </row>
    <row r="45" spans="2:13" ht="34.5" customHeight="1">
      <c r="B45" s="48" t="s">
        <v>294</v>
      </c>
      <c r="C45" s="48" t="s">
        <v>249</v>
      </c>
      <c r="D45" s="49" t="s">
        <v>250</v>
      </c>
      <c r="E45" s="50" t="s">
        <v>269</v>
      </c>
      <c r="F45" s="49" t="s">
        <v>16</v>
      </c>
      <c r="G45" s="47">
        <v>1</v>
      </c>
      <c r="H45" s="47">
        <v>7820</v>
      </c>
      <c r="I45" s="47">
        <f t="shared" ref="I45:I47" si="22">ROUND(H45*(1+$I$8),2)</f>
        <v>9635.2800000000007</v>
      </c>
      <c r="J45" s="51">
        <f t="shared" ref="J45:J47" si="23">ROUND(I45*G45,2)</f>
        <v>9635.2800000000007</v>
      </c>
      <c r="K45" s="1"/>
      <c r="L45" s="1"/>
      <c r="M45" s="93"/>
    </row>
    <row r="46" spans="2:13" ht="34.5" customHeight="1">
      <c r="B46" s="48" t="s">
        <v>295</v>
      </c>
      <c r="C46" s="48" t="s">
        <v>249</v>
      </c>
      <c r="D46" s="49" t="s">
        <v>250</v>
      </c>
      <c r="E46" s="50" t="s">
        <v>313</v>
      </c>
      <c r="F46" s="49" t="s">
        <v>16</v>
      </c>
      <c r="G46" s="47">
        <v>1</v>
      </c>
      <c r="H46" s="47">
        <v>3460</v>
      </c>
      <c r="I46" s="47">
        <f t="shared" si="22"/>
        <v>4263.18</v>
      </c>
      <c r="J46" s="51">
        <f t="shared" si="23"/>
        <v>4263.18</v>
      </c>
      <c r="K46" s="1"/>
      <c r="L46" s="1"/>
      <c r="M46" s="93"/>
    </row>
    <row r="47" spans="2:13" ht="34.5" customHeight="1">
      <c r="B47" s="48" t="s">
        <v>296</v>
      </c>
      <c r="C47" s="48" t="s">
        <v>249</v>
      </c>
      <c r="D47" s="49" t="s">
        <v>250</v>
      </c>
      <c r="E47" s="50" t="s">
        <v>268</v>
      </c>
      <c r="F47" s="49" t="s">
        <v>16</v>
      </c>
      <c r="G47" s="47">
        <v>1</v>
      </c>
      <c r="H47" s="47">
        <v>12835</v>
      </c>
      <c r="I47" s="47">
        <f t="shared" si="22"/>
        <v>15814.43</v>
      </c>
      <c r="J47" s="51">
        <f t="shared" si="23"/>
        <v>15814.43</v>
      </c>
      <c r="K47" s="1"/>
      <c r="L47" s="1"/>
      <c r="M47" s="93"/>
    </row>
    <row r="48" spans="2:13" ht="24.95" customHeight="1">
      <c r="B48" s="48" t="s">
        <v>297</v>
      </c>
      <c r="C48" s="48" t="s">
        <v>228</v>
      </c>
      <c r="D48" s="49" t="s">
        <v>54</v>
      </c>
      <c r="E48" s="50" t="s">
        <v>36</v>
      </c>
      <c r="F48" s="49" t="s">
        <v>17</v>
      </c>
      <c r="G48" s="47">
        <f>431.83</f>
        <v>431.83</v>
      </c>
      <c r="H48" s="47">
        <v>7.36</v>
      </c>
      <c r="I48" s="47">
        <f t="shared" ref="I48" si="24">ROUND(H48*(1+$I$8),2)</f>
        <v>9.07</v>
      </c>
      <c r="J48" s="51">
        <f t="shared" si="12"/>
        <v>3916.7</v>
      </c>
      <c r="K48" s="1"/>
      <c r="L48" s="1"/>
      <c r="M48" s="93"/>
    </row>
    <row r="49" spans="2:12" ht="3.75" customHeight="1">
      <c r="B49" s="163"/>
      <c r="C49" s="163"/>
      <c r="D49" s="163"/>
      <c r="E49" s="163"/>
      <c r="F49" s="163"/>
      <c r="G49" s="163"/>
      <c r="H49" s="163"/>
      <c r="I49" s="163"/>
      <c r="J49" s="164"/>
      <c r="K49" s="1"/>
      <c r="L49" s="1"/>
    </row>
    <row r="50" spans="2:12" ht="32.25" customHeight="1">
      <c r="B50" s="168"/>
      <c r="C50" s="169"/>
      <c r="D50" s="169"/>
      <c r="E50" s="169"/>
      <c r="F50" s="169"/>
      <c r="G50" s="169"/>
      <c r="H50" s="170"/>
      <c r="I50" s="46" t="s">
        <v>40</v>
      </c>
      <c r="J50" s="35">
        <f>SUM(J11+J16+J24+J27+J32+J34+J42+J13)</f>
        <v>150273.18</v>
      </c>
      <c r="K50" s="1"/>
      <c r="L50" s="1"/>
    </row>
    <row r="51" spans="2:12" ht="83.25" customHeight="1">
      <c r="B51" s="6" t="s">
        <v>37</v>
      </c>
      <c r="C51" s="6"/>
      <c r="D51" s="7"/>
      <c r="E51" s="6"/>
      <c r="F51" s="7"/>
      <c r="G51" s="22" t="s">
        <v>37</v>
      </c>
      <c r="H51" s="7"/>
      <c r="I51" s="6"/>
      <c r="J51" s="7"/>
    </row>
    <row r="52" spans="2:12">
      <c r="B52" s="7" t="str">
        <f t="array" ref="B52">PROPER(IF(B4=VLOOKUP('P. O.'!B4:B4,DADOS!B:F,1,0),B4,0))</f>
        <v>Prefeitura Municipal De Santos Dumont</v>
      </c>
      <c r="C52" s="7"/>
      <c r="G52" s="187" t="s">
        <v>38</v>
      </c>
      <c r="H52" s="187"/>
      <c r="I52" s="187"/>
      <c r="J52" s="187"/>
    </row>
    <row r="53" spans="2:12">
      <c r="B53" t="str">
        <f t="array" ref="B53">PROPER(IF(B4=VLOOKUP('P. O.'!B4:B4,DADOS!B:D,1,0),VLOOKUP('P. O.'!B4:B4,DADOS!B:D,3,0),0))</f>
        <v>Carlos Alberto De Azevedo</v>
      </c>
      <c r="C53" s="4"/>
      <c r="G53" s="188" t="s">
        <v>39</v>
      </c>
      <c r="H53" s="188"/>
      <c r="I53" s="188"/>
      <c r="J53" s="188"/>
    </row>
    <row r="54" spans="2:12">
      <c r="B54" t="str">
        <f t="array" ref="B54">PROPER(IF(B4=VLOOKUP('P. O.'!B4:B4,DADOS!B:D,1,0),VLOOKUP('P. O.'!B4:B4,DADOS!B:D,2,0),0))</f>
        <v>Prefeito Municipal De Santos Dumont</v>
      </c>
      <c r="C54" s="4"/>
      <c r="G54" s="188" t="str">
        <f>IF(G53=DADOS!AS7,"Engenheira Civil","Engenheiro Civil")</f>
        <v>Engenheiro Civil</v>
      </c>
      <c r="H54" s="188"/>
      <c r="I54" s="188"/>
      <c r="J54" s="188"/>
    </row>
    <row r="55" spans="2:12">
      <c r="B55" s="4"/>
      <c r="C55" s="4"/>
      <c r="D55" s="1"/>
      <c r="E55" s="1"/>
      <c r="G55" s="188" t="str" cm="1">
        <f t="array" ref="G55">IF(G53=VLOOKUP('P. O.'!G53:G53,DADOS!AS:AT,1,0),VLOOKUP('P. O.'!G53:G53,DADOS!AS:AT,2,0),0)</f>
        <v>CREA-MG 59.552/D</v>
      </c>
      <c r="H55" s="188"/>
      <c r="I55" s="188"/>
      <c r="J55" s="188"/>
    </row>
    <row r="56" spans="2:12">
      <c r="B56" s="1"/>
      <c r="C56" s="1"/>
      <c r="E56" s="1"/>
      <c r="I56" s="1"/>
    </row>
    <row r="57" spans="2:12">
      <c r="D57" s="1"/>
      <c r="H57" s="2"/>
      <c r="I57" s="2"/>
    </row>
    <row r="58" spans="2:12">
      <c r="B58" s="4"/>
      <c r="C58" s="4"/>
      <c r="D58" s="1"/>
      <c r="E58" s="1"/>
      <c r="H58" s="2"/>
      <c r="I58" s="2"/>
    </row>
  </sheetData>
  <sheetProtection selectLockedCells="1" selectUnlockedCells="1"/>
  <mergeCells count="21">
    <mergeCell ref="F7:H7"/>
    <mergeCell ref="G52:J52"/>
    <mergeCell ref="G53:J53"/>
    <mergeCell ref="G54:J54"/>
    <mergeCell ref="G55:J55"/>
    <mergeCell ref="B1:J1"/>
    <mergeCell ref="B2:J2"/>
    <mergeCell ref="B49:J49"/>
    <mergeCell ref="F5:H5"/>
    <mergeCell ref="B50:H50"/>
    <mergeCell ref="F3:H3"/>
    <mergeCell ref="I3:J3"/>
    <mergeCell ref="I4:J4"/>
    <mergeCell ref="I5:J5"/>
    <mergeCell ref="I6:J6"/>
    <mergeCell ref="I7:J7"/>
    <mergeCell ref="I8:J8"/>
    <mergeCell ref="F8:H8"/>
    <mergeCell ref="F6:H6"/>
    <mergeCell ref="F4:H4"/>
    <mergeCell ref="B4:E4"/>
  </mergeCells>
  <phoneticPr fontId="44" type="noConversion"/>
  <pageMargins left="0.47244094488188981" right="0.35433070866141736" top="0.43307086614173229" bottom="0.35433070866141736" header="0.43307086614173229" footer="0.35433070866141736"/>
  <pageSetup paperSize="9" scale="77" firstPageNumber="0" fitToHeight="0" orientation="landscape" horizontalDpi="360" verticalDpi="360" r:id="rId1"/>
  <headerFooter alignWithMargins="0"/>
  <drawing r:id="rId2"/>
  <legacyDrawing r:id="rId3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disablePrompts="1" count="3">
        <x14:dataValidation type="list" allowBlank="1" showInputMessage="1" showErrorMessage="1" xr:uid="{20E4895E-43D1-4A74-9F3B-622C5D0BCFE3}">
          <x14:formula1>
            <xm:f>DADOS!$AM$10:$AM$11</xm:f>
          </x14:formula1>
          <xm:sqref>F8:H8</xm:sqref>
        </x14:dataValidation>
        <x14:dataValidation type="list" allowBlank="1" showInputMessage="1" showErrorMessage="1" xr:uid="{00000000-0002-0000-0200-000000000000}">
          <x14:formula1>
            <xm:f>DADOS!$B$2:$B$20</xm:f>
          </x14:formula1>
          <xm:sqref>B4:E4</xm:sqref>
        </x14:dataValidation>
        <x14:dataValidation type="list" allowBlank="1" showInputMessage="1" showErrorMessage="1" xr:uid="{9DF098C8-7515-469C-B67E-17A8D4651E4A}">
          <x14:formula1>
            <xm:f>DADOS!$AS$3:$AS$7</xm:f>
          </x14:formula1>
          <xm:sqref>G53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57"/>
  <sheetViews>
    <sheetView view="pageBreakPreview" topLeftCell="A41" zoomScaleSheetLayoutView="100" workbookViewId="0">
      <selection activeCell="B1" sqref="B1:J1"/>
    </sheetView>
  </sheetViews>
  <sheetFormatPr defaultRowHeight="15"/>
  <cols>
    <col min="2" max="2" width="9.140625" customWidth="1"/>
    <col min="3" max="4" width="12.7109375" customWidth="1"/>
    <col min="5" max="5" width="77.5703125" customWidth="1"/>
    <col min="6" max="6" width="9.140625" customWidth="1"/>
    <col min="7" max="7" width="11.140625" style="3" customWidth="1"/>
    <col min="8" max="10" width="15.7109375" customWidth="1"/>
    <col min="11" max="12" width="11.7109375" customWidth="1"/>
    <col min="13" max="13" width="54.140625" customWidth="1"/>
  </cols>
  <sheetData>
    <row r="1" spans="2:13" ht="120" customHeight="1">
      <c r="B1" s="157"/>
      <c r="C1" s="158"/>
      <c r="D1" s="158"/>
      <c r="E1" s="158"/>
      <c r="F1" s="158"/>
      <c r="G1" s="158"/>
      <c r="H1" s="158"/>
      <c r="I1" s="158"/>
      <c r="J1" s="159"/>
    </row>
    <row r="2" spans="2:13" s="36" customFormat="1" ht="24.95" customHeight="1">
      <c r="B2" s="160" t="s">
        <v>298</v>
      </c>
      <c r="C2" s="161"/>
      <c r="D2" s="161"/>
      <c r="E2" s="161"/>
      <c r="F2" s="161"/>
      <c r="G2" s="161"/>
      <c r="H2" s="161"/>
      <c r="I2" s="161"/>
      <c r="J2" s="162"/>
      <c r="M2" s="94"/>
    </row>
    <row r="3" spans="2:13" s="36" customFormat="1" ht="20.100000000000001" customHeight="1">
      <c r="B3" s="63" t="s">
        <v>84</v>
      </c>
      <c r="C3" s="64"/>
      <c r="D3" s="64"/>
      <c r="E3" s="69"/>
      <c r="F3" s="171" t="s">
        <v>203</v>
      </c>
      <c r="G3" s="172"/>
      <c r="H3" s="173"/>
      <c r="I3" s="172" t="s">
        <v>81</v>
      </c>
      <c r="J3" s="174"/>
      <c r="M3" s="95"/>
    </row>
    <row r="4" spans="2:13" s="36" customFormat="1">
      <c r="B4" s="184" t="s">
        <v>143</v>
      </c>
      <c r="C4" s="185"/>
      <c r="D4" s="185"/>
      <c r="E4" s="186"/>
      <c r="F4" s="165" t="s">
        <v>262</v>
      </c>
      <c r="G4" s="166"/>
      <c r="H4" s="167"/>
      <c r="I4" s="175">
        <v>45419</v>
      </c>
      <c r="J4" s="176"/>
    </row>
    <row r="5" spans="2:13" s="36" customFormat="1">
      <c r="B5" s="63" t="s">
        <v>85</v>
      </c>
      <c r="C5" s="64"/>
      <c r="D5" s="64"/>
      <c r="E5" s="69"/>
      <c r="F5" s="165" t="s">
        <v>263</v>
      </c>
      <c r="G5" s="166"/>
      <c r="H5" s="167"/>
      <c r="I5" s="172" t="s">
        <v>82</v>
      </c>
      <c r="J5" s="174"/>
    </row>
    <row r="6" spans="2:13" s="67" customFormat="1">
      <c r="B6" s="140" t="s">
        <v>316</v>
      </c>
      <c r="C6" s="66"/>
      <c r="D6" s="66"/>
      <c r="E6" s="70"/>
      <c r="F6" s="165"/>
      <c r="G6" s="166"/>
      <c r="H6" s="167"/>
      <c r="I6" s="177">
        <f t="array" ref="I6">IF(B4=VLOOKUP('MEMÓRIA DE CÁLCULO'!B4:B4,DADOS!B:F,1,0),VLOOKUP('MEMÓRIA DE CÁLCULO'!B4:B4,DADOS!B:F,5,0),0)</f>
        <v>0.05</v>
      </c>
      <c r="J6" s="178"/>
    </row>
    <row r="7" spans="2:13" s="36" customFormat="1">
      <c r="B7" s="63" t="s">
        <v>86</v>
      </c>
      <c r="C7" s="64"/>
      <c r="D7" s="64"/>
      <c r="E7" s="64"/>
      <c r="F7" s="171" t="s">
        <v>83</v>
      </c>
      <c r="G7" s="172"/>
      <c r="H7" s="173"/>
      <c r="I7" s="171" t="s">
        <v>80</v>
      </c>
      <c r="J7" s="174"/>
      <c r="K7" s="62"/>
      <c r="L7" s="62"/>
    </row>
    <row r="8" spans="2:13" s="67" customFormat="1" ht="15.75" thickBot="1">
      <c r="B8" s="141" t="s">
        <v>317</v>
      </c>
      <c r="C8" s="72"/>
      <c r="D8" s="72"/>
      <c r="E8" s="73"/>
      <c r="F8" s="181" t="s">
        <v>160</v>
      </c>
      <c r="G8" s="182"/>
      <c r="H8" s="183"/>
      <c r="I8" s="179">
        <f>BDI!C26</f>
        <v>0.23213294482685121</v>
      </c>
      <c r="J8" s="180"/>
      <c r="K8" s="68"/>
      <c r="L8" s="68"/>
    </row>
    <row r="9" spans="2:13" ht="9.9499999999999993" customHeight="1"/>
    <row r="10" spans="2:13" ht="35.1" customHeight="1">
      <c r="B10" s="58" t="s">
        <v>0</v>
      </c>
      <c r="C10" s="58" t="s">
        <v>78</v>
      </c>
      <c r="D10" s="58" t="s">
        <v>1</v>
      </c>
      <c r="E10" s="58" t="s">
        <v>2</v>
      </c>
      <c r="F10" s="58" t="s">
        <v>3</v>
      </c>
      <c r="G10" s="59" t="s">
        <v>4</v>
      </c>
      <c r="H10" s="195" t="s">
        <v>298</v>
      </c>
      <c r="I10" s="196"/>
      <c r="J10" s="197"/>
      <c r="K10" s="1"/>
      <c r="L10" s="1"/>
      <c r="M10" s="92"/>
    </row>
    <row r="11" spans="2:13" ht="24.95" customHeight="1">
      <c r="B11" s="52">
        <v>1</v>
      </c>
      <c r="C11" s="52"/>
      <c r="D11" s="53"/>
      <c r="E11" s="54" t="s">
        <v>15</v>
      </c>
      <c r="F11" s="54"/>
      <c r="G11" s="55"/>
      <c r="H11" s="192"/>
      <c r="I11" s="193"/>
      <c r="J11" s="194"/>
      <c r="K11" s="1"/>
      <c r="L11" s="1"/>
      <c r="M11" s="93"/>
    </row>
    <row r="12" spans="2:13" ht="58.5" customHeight="1">
      <c r="B12" s="48" t="s">
        <v>6</v>
      </c>
      <c r="C12" s="48" t="s">
        <v>228</v>
      </c>
      <c r="D12" s="49" t="s">
        <v>187</v>
      </c>
      <c r="E12" s="50" t="s">
        <v>188</v>
      </c>
      <c r="F12" s="49" t="s">
        <v>16</v>
      </c>
      <c r="G12" s="47">
        <v>1</v>
      </c>
      <c r="H12" s="189">
        <v>1</v>
      </c>
      <c r="I12" s="190"/>
      <c r="J12" s="191"/>
      <c r="K12" s="1"/>
      <c r="L12" s="1"/>
      <c r="M12" s="93"/>
    </row>
    <row r="13" spans="2:13" ht="24.95" customHeight="1">
      <c r="B13" s="52">
        <v>2</v>
      </c>
      <c r="C13" s="52"/>
      <c r="D13" s="53"/>
      <c r="E13" s="54" t="s">
        <v>271</v>
      </c>
      <c r="F13" s="54"/>
      <c r="G13" s="55"/>
      <c r="H13" s="192"/>
      <c r="I13" s="193"/>
      <c r="J13" s="194">
        <f>SUM(J14:J15)</f>
        <v>0</v>
      </c>
      <c r="K13" s="1"/>
      <c r="L13" s="1"/>
      <c r="M13" s="93"/>
    </row>
    <row r="14" spans="2:13" ht="24.95" customHeight="1">
      <c r="B14" s="48" t="s">
        <v>251</v>
      </c>
      <c r="C14" s="48" t="s">
        <v>189</v>
      </c>
      <c r="D14" s="49" t="s">
        <v>272</v>
      </c>
      <c r="E14" s="50" t="s">
        <v>273</v>
      </c>
      <c r="F14" s="49" t="s">
        <v>274</v>
      </c>
      <c r="G14" s="47">
        <v>55</v>
      </c>
      <c r="H14" s="189">
        <v>55</v>
      </c>
      <c r="I14" s="190"/>
      <c r="J14" s="191"/>
      <c r="K14" s="1"/>
      <c r="L14" s="1"/>
      <c r="M14" s="93"/>
    </row>
    <row r="15" spans="2:13" ht="24.95" customHeight="1">
      <c r="B15" s="48" t="s">
        <v>266</v>
      </c>
      <c r="C15" s="48" t="s">
        <v>189</v>
      </c>
      <c r="D15" s="49" t="s">
        <v>275</v>
      </c>
      <c r="E15" s="50" t="s">
        <v>276</v>
      </c>
      <c r="F15" s="49" t="s">
        <v>277</v>
      </c>
      <c r="G15" s="47">
        <v>2</v>
      </c>
      <c r="H15" s="189">
        <v>2</v>
      </c>
      <c r="I15" s="190"/>
      <c r="J15" s="191"/>
      <c r="K15" s="1"/>
      <c r="L15" s="1"/>
      <c r="M15" s="93"/>
    </row>
    <row r="16" spans="2:13" ht="24.95" customHeight="1">
      <c r="B16" s="52">
        <v>3</v>
      </c>
      <c r="C16" s="52"/>
      <c r="D16" s="53"/>
      <c r="E16" s="54" t="s">
        <v>18</v>
      </c>
      <c r="F16" s="54"/>
      <c r="G16" s="55"/>
      <c r="H16" s="192"/>
      <c r="I16" s="193"/>
      <c r="J16" s="194">
        <f>SUM(J17:J23)</f>
        <v>0</v>
      </c>
      <c r="K16" s="1"/>
      <c r="L16" s="1"/>
      <c r="M16" s="93"/>
    </row>
    <row r="17" spans="2:13" ht="24.95" customHeight="1">
      <c r="B17" s="48" t="s">
        <v>252</v>
      </c>
      <c r="C17" s="48" t="s">
        <v>189</v>
      </c>
      <c r="D17" s="49" t="s">
        <v>231</v>
      </c>
      <c r="E17" s="50" t="s">
        <v>232</v>
      </c>
      <c r="F17" s="49" t="s">
        <v>17</v>
      </c>
      <c r="G17" s="47">
        <f>0.9*2.1</f>
        <v>1.8900000000000001</v>
      </c>
      <c r="H17" s="189" t="s">
        <v>299</v>
      </c>
      <c r="I17" s="190"/>
      <c r="J17" s="191"/>
      <c r="K17" s="1"/>
      <c r="L17" s="1"/>
      <c r="M17" s="93"/>
    </row>
    <row r="18" spans="2:13" ht="34.5" customHeight="1">
      <c r="B18" s="48" t="s">
        <v>253</v>
      </c>
      <c r="C18" s="48" t="s">
        <v>228</v>
      </c>
      <c r="D18" s="49" t="s">
        <v>233</v>
      </c>
      <c r="E18" s="50" t="s">
        <v>234</v>
      </c>
      <c r="F18" s="49" t="s">
        <v>17</v>
      </c>
      <c r="G18" s="47">
        <f>4.49*2.83-(0.6*2.1+0.6*0.6)+4*1+72</f>
        <v>87.086700000000008</v>
      </c>
      <c r="H18" s="189" t="s">
        <v>300</v>
      </c>
      <c r="I18" s="190"/>
      <c r="J18" s="191"/>
      <c r="K18" s="1"/>
      <c r="L18" s="1"/>
      <c r="M18" s="93"/>
    </row>
    <row r="19" spans="2:13" ht="45.75" customHeight="1">
      <c r="B19" s="48" t="s">
        <v>283</v>
      </c>
      <c r="C19" s="48" t="s">
        <v>228</v>
      </c>
      <c r="D19" s="49" t="s">
        <v>239</v>
      </c>
      <c r="E19" s="50" t="s">
        <v>240</v>
      </c>
      <c r="F19" s="49" t="s">
        <v>17</v>
      </c>
      <c r="G19" s="47">
        <f>29.75+11.6+47.42</f>
        <v>88.77000000000001</v>
      </c>
      <c r="H19" s="189" t="s">
        <v>301</v>
      </c>
      <c r="I19" s="190"/>
      <c r="J19" s="191"/>
      <c r="K19" s="1"/>
      <c r="L19" s="1"/>
      <c r="M19" s="93"/>
    </row>
    <row r="20" spans="2:13" ht="45.75" customHeight="1">
      <c r="B20" s="48" t="s">
        <v>284</v>
      </c>
      <c r="C20" s="48" t="s">
        <v>228</v>
      </c>
      <c r="D20" s="49" t="s">
        <v>241</v>
      </c>
      <c r="E20" s="50" t="s">
        <v>242</v>
      </c>
      <c r="F20" s="49" t="s">
        <v>17</v>
      </c>
      <c r="G20" s="47">
        <f>22.91*1.2-(0.7*2.1+2*1.2*1.5+1.5*1.5)</f>
        <v>20.172000000000001</v>
      </c>
      <c r="H20" s="189" t="s">
        <v>302</v>
      </c>
      <c r="I20" s="190"/>
      <c r="J20" s="191"/>
      <c r="K20" s="1"/>
      <c r="L20" s="1"/>
      <c r="M20" s="142"/>
    </row>
    <row r="21" spans="2:13" ht="58.5" customHeight="1">
      <c r="B21" s="48" t="s">
        <v>285</v>
      </c>
      <c r="C21" s="48" t="s">
        <v>228</v>
      </c>
      <c r="D21" s="49" t="s">
        <v>235</v>
      </c>
      <c r="E21" s="50" t="s">
        <v>236</v>
      </c>
      <c r="F21" s="49" t="s">
        <v>17</v>
      </c>
      <c r="G21" s="47">
        <f>20.67+29.75+11.6+47.42</f>
        <v>109.44</v>
      </c>
      <c r="H21" s="189" t="s">
        <v>303</v>
      </c>
      <c r="I21" s="190"/>
      <c r="J21" s="191"/>
      <c r="K21" s="1"/>
      <c r="L21" s="1"/>
      <c r="M21" s="93"/>
    </row>
    <row r="22" spans="2:13" ht="75.75" customHeight="1">
      <c r="B22" s="48" t="s">
        <v>286</v>
      </c>
      <c r="C22" s="48" t="s">
        <v>228</v>
      </c>
      <c r="D22" s="49" t="s">
        <v>190</v>
      </c>
      <c r="E22" s="50" t="s">
        <v>191</v>
      </c>
      <c r="F22" s="49" t="s">
        <v>19</v>
      </c>
      <c r="G22" s="47">
        <f>G17*0.15+G18*0.05+G19*0.1+G20*0.1+G21*0.05</f>
        <v>21.004035000000002</v>
      </c>
      <c r="H22" s="189" t="s">
        <v>305</v>
      </c>
      <c r="I22" s="190"/>
      <c r="J22" s="191"/>
      <c r="K22" s="1"/>
      <c r="L22" s="1"/>
      <c r="M22" s="93"/>
    </row>
    <row r="23" spans="2:13" ht="75.75" customHeight="1">
      <c r="B23" s="48" t="s">
        <v>287</v>
      </c>
      <c r="C23" s="48" t="s">
        <v>228</v>
      </c>
      <c r="D23" s="49" t="s">
        <v>192</v>
      </c>
      <c r="E23" s="50" t="s">
        <v>193</v>
      </c>
      <c r="F23" s="49" t="s">
        <v>194</v>
      </c>
      <c r="G23" s="47">
        <f>G22*10</f>
        <v>210.04035000000002</v>
      </c>
      <c r="H23" s="189" t="s">
        <v>306</v>
      </c>
      <c r="I23" s="190"/>
      <c r="J23" s="191"/>
      <c r="K23" s="1"/>
      <c r="L23" s="1"/>
      <c r="M23" s="93"/>
    </row>
    <row r="24" spans="2:13" ht="24.95" customHeight="1">
      <c r="B24" s="52">
        <v>4</v>
      </c>
      <c r="C24" s="52"/>
      <c r="D24" s="53"/>
      <c r="E24" s="54" t="s">
        <v>22</v>
      </c>
      <c r="F24" s="54"/>
      <c r="G24" s="55"/>
      <c r="H24" s="192"/>
      <c r="I24" s="193"/>
      <c r="J24" s="194">
        <f>SUM(J25:J26)</f>
        <v>0</v>
      </c>
      <c r="K24" s="1"/>
      <c r="L24" s="1"/>
      <c r="M24" s="93"/>
    </row>
    <row r="25" spans="2:13" ht="45" customHeight="1">
      <c r="B25" s="48" t="s">
        <v>254</v>
      </c>
      <c r="C25" s="48" t="s">
        <v>228</v>
      </c>
      <c r="D25" s="49" t="s">
        <v>44</v>
      </c>
      <c r="E25" s="50" t="s">
        <v>195</v>
      </c>
      <c r="F25" s="49" t="s">
        <v>17</v>
      </c>
      <c r="G25" s="47">
        <f>G18+G20</f>
        <v>107.2587</v>
      </c>
      <c r="H25" s="189" t="s">
        <v>304</v>
      </c>
      <c r="I25" s="190"/>
      <c r="J25" s="191"/>
      <c r="K25" s="1"/>
      <c r="L25" s="1"/>
      <c r="M25" s="93"/>
    </row>
    <row r="26" spans="2:13" ht="34.5" customHeight="1">
      <c r="B26" s="48" t="s">
        <v>255</v>
      </c>
      <c r="C26" s="48" t="s">
        <v>228</v>
      </c>
      <c r="D26" s="49" t="s">
        <v>244</v>
      </c>
      <c r="E26" s="50" t="s">
        <v>245</v>
      </c>
      <c r="F26" s="49" t="s">
        <v>17</v>
      </c>
      <c r="G26" s="47">
        <f>G25</f>
        <v>107.2587</v>
      </c>
      <c r="H26" s="189" t="s">
        <v>304</v>
      </c>
      <c r="I26" s="190"/>
      <c r="J26" s="191"/>
      <c r="K26" s="1"/>
      <c r="L26" s="1"/>
      <c r="M26" s="93"/>
    </row>
    <row r="27" spans="2:13" ht="24.95" customHeight="1">
      <c r="B27" s="52">
        <v>5</v>
      </c>
      <c r="C27" s="52"/>
      <c r="D27" s="53"/>
      <c r="E27" s="54" t="s">
        <v>196</v>
      </c>
      <c r="F27" s="54"/>
      <c r="G27" s="55"/>
      <c r="H27" s="192"/>
      <c r="I27" s="193"/>
      <c r="J27" s="194">
        <f>SUM(J28:J31)</f>
        <v>0</v>
      </c>
      <c r="K27" s="1"/>
      <c r="L27" s="1"/>
      <c r="M27" s="93"/>
    </row>
    <row r="28" spans="2:13" ht="24.95" customHeight="1">
      <c r="B28" s="48" t="s">
        <v>256</v>
      </c>
      <c r="C28" s="48" t="s">
        <v>189</v>
      </c>
      <c r="D28" s="49" t="s">
        <v>280</v>
      </c>
      <c r="E28" s="50" t="s">
        <v>281</v>
      </c>
      <c r="F28" s="49" t="s">
        <v>19</v>
      </c>
      <c r="G28" s="47">
        <v>4.8</v>
      </c>
      <c r="H28" s="189">
        <v>4.8</v>
      </c>
      <c r="I28" s="190"/>
      <c r="J28" s="191"/>
      <c r="K28" s="1"/>
      <c r="L28" s="1"/>
      <c r="M28" s="93"/>
    </row>
    <row r="29" spans="2:13" ht="24.95" customHeight="1">
      <c r="B29" s="48" t="s">
        <v>288</v>
      </c>
      <c r="C29" s="48" t="s">
        <v>228</v>
      </c>
      <c r="D29" s="49" t="s">
        <v>46</v>
      </c>
      <c r="E29" s="50" t="s">
        <v>29</v>
      </c>
      <c r="F29" s="49" t="s">
        <v>17</v>
      </c>
      <c r="G29" s="47">
        <f>G19</f>
        <v>88.77000000000001</v>
      </c>
      <c r="H29" s="189" t="s">
        <v>301</v>
      </c>
      <c r="I29" s="190"/>
      <c r="J29" s="191"/>
      <c r="K29" s="1"/>
      <c r="L29" s="1"/>
      <c r="M29" s="93"/>
    </row>
    <row r="30" spans="2:13" ht="45" customHeight="1">
      <c r="B30" s="48" t="s">
        <v>289</v>
      </c>
      <c r="C30" s="48" t="s">
        <v>228</v>
      </c>
      <c r="D30" s="49" t="s">
        <v>45</v>
      </c>
      <c r="E30" s="50" t="s">
        <v>28</v>
      </c>
      <c r="F30" s="49" t="s">
        <v>17</v>
      </c>
      <c r="G30" s="47">
        <f>G29</f>
        <v>88.77000000000001</v>
      </c>
      <c r="H30" s="189" t="s">
        <v>301</v>
      </c>
      <c r="I30" s="190"/>
      <c r="J30" s="191"/>
      <c r="K30" s="1"/>
      <c r="L30" s="1"/>
      <c r="M30" s="93"/>
    </row>
    <row r="31" spans="2:13" ht="34.5" customHeight="1">
      <c r="B31" s="48" t="s">
        <v>290</v>
      </c>
      <c r="C31" s="48" t="s">
        <v>228</v>
      </c>
      <c r="D31" s="49" t="s">
        <v>47</v>
      </c>
      <c r="E31" s="50" t="s">
        <v>30</v>
      </c>
      <c r="F31" s="49" t="s">
        <v>20</v>
      </c>
      <c r="G31" s="47">
        <f>21.9-1.1-0.8+13.84-0.7+27.86-1.1-0.85</f>
        <v>59.04999999999999</v>
      </c>
      <c r="H31" s="189" t="s">
        <v>307</v>
      </c>
      <c r="I31" s="190"/>
      <c r="J31" s="191"/>
      <c r="K31" s="1"/>
      <c r="L31" s="1"/>
      <c r="M31" s="93"/>
    </row>
    <row r="32" spans="2:13" ht="24.95" customHeight="1">
      <c r="B32" s="52">
        <v>6</v>
      </c>
      <c r="C32" s="52"/>
      <c r="D32" s="53"/>
      <c r="E32" s="54" t="s">
        <v>25</v>
      </c>
      <c r="F32" s="54"/>
      <c r="G32" s="55"/>
      <c r="H32" s="192"/>
      <c r="I32" s="193"/>
      <c r="J32" s="194">
        <f>SUM(J33:J33)</f>
        <v>0</v>
      </c>
      <c r="K32" s="1"/>
      <c r="L32" s="1"/>
      <c r="M32" s="93"/>
    </row>
    <row r="33" spans="2:13" ht="45.75" customHeight="1">
      <c r="B33" s="48" t="s">
        <v>257</v>
      </c>
      <c r="C33" s="48" t="s">
        <v>228</v>
      </c>
      <c r="D33" s="49" t="s">
        <v>48</v>
      </c>
      <c r="E33" s="50" t="s">
        <v>197</v>
      </c>
      <c r="F33" s="49" t="s">
        <v>16</v>
      </c>
      <c r="G33" s="47">
        <v>1</v>
      </c>
      <c r="H33" s="189">
        <v>1</v>
      </c>
      <c r="I33" s="190"/>
      <c r="J33" s="191"/>
      <c r="K33" s="1"/>
      <c r="L33" s="1"/>
      <c r="M33" s="93"/>
    </row>
    <row r="34" spans="2:13" ht="24.95" customHeight="1">
      <c r="B34" s="52">
        <v>7</v>
      </c>
      <c r="C34" s="52"/>
      <c r="D34" s="53"/>
      <c r="E34" s="54" t="s">
        <v>26</v>
      </c>
      <c r="F34" s="54"/>
      <c r="G34" s="55"/>
      <c r="H34" s="192"/>
      <c r="I34" s="193"/>
      <c r="J34" s="194">
        <f>SUM(J35:J41)</f>
        <v>0</v>
      </c>
      <c r="K34" s="1"/>
      <c r="L34" s="1"/>
      <c r="M34" s="93"/>
    </row>
    <row r="35" spans="2:13" ht="24.95" customHeight="1">
      <c r="B35" s="48" t="s">
        <v>258</v>
      </c>
      <c r="C35" s="48" t="s">
        <v>228</v>
      </c>
      <c r="D35" s="49" t="s">
        <v>237</v>
      </c>
      <c r="E35" s="50" t="s">
        <v>238</v>
      </c>
      <c r="F35" s="49" t="s">
        <v>17</v>
      </c>
      <c r="G35" s="47">
        <f>15.6+31.78+8.59+1.13+29.52+11.14+1.37*9.63</f>
        <v>110.95310000000001</v>
      </c>
      <c r="H35" s="189" t="s">
        <v>308</v>
      </c>
      <c r="I35" s="190"/>
      <c r="J35" s="191"/>
      <c r="K35" s="1"/>
      <c r="L35" s="1"/>
      <c r="M35" s="93"/>
    </row>
    <row r="36" spans="2:13" ht="235.5" customHeight="1">
      <c r="B36" s="48" t="s">
        <v>259</v>
      </c>
      <c r="C36" s="48" t="s">
        <v>228</v>
      </c>
      <c r="D36" s="49" t="s">
        <v>264</v>
      </c>
      <c r="E36" s="50" t="s">
        <v>265</v>
      </c>
      <c r="F36" s="49" t="s">
        <v>17</v>
      </c>
      <c r="G36" s="47">
        <f>G37</f>
        <v>1118.7282</v>
      </c>
      <c r="H36" s="189" t="s">
        <v>309</v>
      </c>
      <c r="I36" s="190"/>
      <c r="J36" s="191"/>
      <c r="K36" s="1"/>
      <c r="L36" s="1"/>
      <c r="M36" s="93"/>
    </row>
    <row r="37" spans="2:13" ht="235.5" customHeight="1">
      <c r="B37" s="48" t="s">
        <v>270</v>
      </c>
      <c r="C37" s="48" t="s">
        <v>228</v>
      </c>
      <c r="D37" s="49" t="s">
        <v>49</v>
      </c>
      <c r="E37" s="50" t="s">
        <v>31</v>
      </c>
      <c r="F37" s="49" t="s">
        <v>17</v>
      </c>
      <c r="G37" s="47">
        <f>1.3*3.8+25.74*3-(1.8*1.5+1*2.1)+21.48*2.83-(1.2*1.5+0.7*2.1)+23.1*1.73-(2*1.18*1.5+2*1.5+0.7*2.1)+12.84*2.83-(1.55*1.5+0.7*2.1)+1.37*9.63-(0.6*2.1+3*0.7*2.1+2*1.5)+21.9*2.83-(0.8*2.1+1.1*2.1+1.8*1.5)+39.54*2-(3*1.2*1.5+0.8*2.1+0.7*2.1+0.5*2.1+2*1+0.9*2.1)+22.92*2.7-(1.5*1.5+2*1.2*1.5+0.7*2.1)+14.16*2.6-(0.5*2.1+1*1.5)+9.7*2.7-(0.55*2.1)+27.86*2.8-(0.85*2.1+1.1*2.1+2*2*1.5+0.55*1.2)+13.84*3.82-(0.7*2.1+1.1*1.5)+84.89*2.8-(0.6*2.1+2*1.5*1.5+1*1.5+0.55*2.1+2*2*1.5+0.55*1+2*1.1*2.1+1.1*1.5+2*1.8*1.5+1*2.1+1.2*1.5+2*1.18*1.5+1.55*1.5+0.6*0.6)+14.63*1.3+1.68*4*3.8+G18+15.35*3-(0.6*2.1+1*2.1+0.9*2.1)+2.85*3-(2.85*2.1)+25.14*2.3-(1*2.1)+60.36*1.7+9.6*1.5-(2*0.6*0.6)+10.09*1.5-(2*0*60*60)</f>
        <v>1118.7282</v>
      </c>
      <c r="H37" s="189" t="s">
        <v>309</v>
      </c>
      <c r="I37" s="190"/>
      <c r="J37" s="191"/>
      <c r="K37" s="1"/>
      <c r="L37" s="1"/>
      <c r="M37" s="93"/>
    </row>
    <row r="38" spans="2:13" ht="34.5" customHeight="1">
      <c r="B38" s="48" t="s">
        <v>260</v>
      </c>
      <c r="C38" s="48" t="s">
        <v>228</v>
      </c>
      <c r="D38" s="49" t="s">
        <v>50</v>
      </c>
      <c r="E38" s="50" t="s">
        <v>32</v>
      </c>
      <c r="F38" s="49" t="s">
        <v>17</v>
      </c>
      <c r="G38" s="47">
        <f>G35</f>
        <v>110.95310000000001</v>
      </c>
      <c r="H38" s="189" t="s">
        <v>308</v>
      </c>
      <c r="I38" s="190"/>
      <c r="J38" s="191"/>
      <c r="K38" s="1"/>
      <c r="L38" s="1"/>
      <c r="M38" s="93"/>
    </row>
    <row r="39" spans="2:13" ht="34.5" customHeight="1">
      <c r="B39" s="48" t="s">
        <v>261</v>
      </c>
      <c r="C39" s="48" t="s">
        <v>228</v>
      </c>
      <c r="D39" s="49" t="s">
        <v>51</v>
      </c>
      <c r="E39" s="50" t="s">
        <v>33</v>
      </c>
      <c r="F39" s="49" t="s">
        <v>17</v>
      </c>
      <c r="G39" s="47">
        <f>(1*2.1+6*0.7*2.1+0.6*2.1+0.5*2.1+0.55*2.1+2*0.8*2.1+1.1*2.1+0.9*2.1)*2</f>
        <v>43.89</v>
      </c>
      <c r="H39" s="189" t="s">
        <v>315</v>
      </c>
      <c r="I39" s="190"/>
      <c r="J39" s="191"/>
      <c r="K39" s="1"/>
      <c r="L39" s="1"/>
      <c r="M39" s="93"/>
    </row>
    <row r="40" spans="2:13" ht="34.5" customHeight="1">
      <c r="B40" s="48" t="s">
        <v>267</v>
      </c>
      <c r="C40" s="48" t="s">
        <v>228</v>
      </c>
      <c r="D40" s="49" t="s">
        <v>52</v>
      </c>
      <c r="E40" s="50" t="s">
        <v>34</v>
      </c>
      <c r="F40" s="49" t="s">
        <v>17</v>
      </c>
      <c r="G40" s="47">
        <f>7+15.6+15.8+101.45</f>
        <v>139.85000000000002</v>
      </c>
      <c r="H40" s="189" t="s">
        <v>310</v>
      </c>
      <c r="I40" s="190"/>
      <c r="J40" s="191"/>
      <c r="K40" s="1"/>
      <c r="L40" s="1"/>
      <c r="M40" s="93"/>
    </row>
    <row r="41" spans="2:13" ht="34.5" customHeight="1">
      <c r="B41" s="48" t="s">
        <v>291</v>
      </c>
      <c r="C41" s="48" t="s">
        <v>228</v>
      </c>
      <c r="D41" s="49" t="s">
        <v>53</v>
      </c>
      <c r="E41" s="50" t="s">
        <v>35</v>
      </c>
      <c r="F41" s="49" t="s">
        <v>17</v>
      </c>
      <c r="G41" s="47">
        <f>0.6*2.1+0.8*2.1+4*1.2*1.5+3*2*1.5+2*1.8*1.5+2*1.18*1.5+2*1.5*1.5+1.55*1.5+1*1.5+0.55*0.6+5*0.6*0.6+1*2.1</f>
        <v>40.634999999999998</v>
      </c>
      <c r="H41" s="189" t="s">
        <v>311</v>
      </c>
      <c r="I41" s="190"/>
      <c r="J41" s="191"/>
      <c r="K41" s="1"/>
      <c r="L41" s="1"/>
      <c r="M41" s="93"/>
    </row>
    <row r="42" spans="2:13" ht="24.95" customHeight="1">
      <c r="B42" s="52">
        <v>8</v>
      </c>
      <c r="C42" s="52"/>
      <c r="D42" s="53"/>
      <c r="E42" s="54" t="s">
        <v>27</v>
      </c>
      <c r="F42" s="54"/>
      <c r="G42" s="55"/>
      <c r="H42" s="192"/>
      <c r="I42" s="193"/>
      <c r="J42" s="194">
        <f>SUM(J43:J48)</f>
        <v>0</v>
      </c>
      <c r="K42" s="1"/>
      <c r="L42" s="1"/>
      <c r="M42" s="93"/>
    </row>
    <row r="43" spans="2:13" ht="34.5" customHeight="1">
      <c r="B43" s="48" t="s">
        <v>292</v>
      </c>
      <c r="C43" s="48" t="s">
        <v>228</v>
      </c>
      <c r="D43" s="49" t="s">
        <v>229</v>
      </c>
      <c r="E43" s="50" t="s">
        <v>230</v>
      </c>
      <c r="F43" s="49" t="s">
        <v>16</v>
      </c>
      <c r="G43" s="47">
        <v>2</v>
      </c>
      <c r="H43" s="189">
        <v>2</v>
      </c>
      <c r="I43" s="190"/>
      <c r="J43" s="191"/>
      <c r="K43" s="1"/>
      <c r="L43" s="1"/>
      <c r="M43" s="93"/>
    </row>
    <row r="44" spans="2:13" ht="34.5" customHeight="1">
      <c r="B44" s="48" t="s">
        <v>293</v>
      </c>
      <c r="C44" s="48" t="s">
        <v>189</v>
      </c>
      <c r="D44" s="49" t="s">
        <v>246</v>
      </c>
      <c r="E44" s="50" t="s">
        <v>247</v>
      </c>
      <c r="F44" s="49" t="s">
        <v>17</v>
      </c>
      <c r="G44" s="47">
        <f>G21+1.87+1.88+20.59+2.18+2.11</f>
        <v>138.07000000000002</v>
      </c>
      <c r="H44" s="189" t="s">
        <v>312</v>
      </c>
      <c r="I44" s="190"/>
      <c r="J44" s="191"/>
      <c r="K44" s="1"/>
      <c r="L44" s="1"/>
      <c r="M44" s="93"/>
    </row>
    <row r="45" spans="2:13" ht="34.5" customHeight="1">
      <c r="B45" s="48" t="s">
        <v>294</v>
      </c>
      <c r="C45" s="48" t="s">
        <v>249</v>
      </c>
      <c r="D45" s="49" t="s">
        <v>250</v>
      </c>
      <c r="E45" s="50" t="s">
        <v>269</v>
      </c>
      <c r="F45" s="49" t="s">
        <v>16</v>
      </c>
      <c r="G45" s="47">
        <v>1</v>
      </c>
      <c r="H45" s="189">
        <v>1</v>
      </c>
      <c r="I45" s="190"/>
      <c r="J45" s="191"/>
      <c r="K45" s="1"/>
      <c r="L45" s="1"/>
      <c r="M45" s="93"/>
    </row>
    <row r="46" spans="2:13" ht="34.5" customHeight="1">
      <c r="B46" s="48" t="s">
        <v>295</v>
      </c>
      <c r="C46" s="48" t="s">
        <v>249</v>
      </c>
      <c r="D46" s="49" t="s">
        <v>250</v>
      </c>
      <c r="E46" s="50" t="s">
        <v>314</v>
      </c>
      <c r="F46" s="49" t="s">
        <v>16</v>
      </c>
      <c r="G46" s="47">
        <v>1</v>
      </c>
      <c r="H46" s="189">
        <v>1</v>
      </c>
      <c r="I46" s="190"/>
      <c r="J46" s="191"/>
      <c r="K46" s="1"/>
      <c r="L46" s="1"/>
      <c r="M46" s="93"/>
    </row>
    <row r="47" spans="2:13" ht="34.5" customHeight="1">
      <c r="B47" s="48" t="s">
        <v>296</v>
      </c>
      <c r="C47" s="48" t="s">
        <v>249</v>
      </c>
      <c r="D47" s="49" t="s">
        <v>250</v>
      </c>
      <c r="E47" s="50" t="s">
        <v>268</v>
      </c>
      <c r="F47" s="49" t="s">
        <v>16</v>
      </c>
      <c r="G47" s="47">
        <v>1</v>
      </c>
      <c r="H47" s="189">
        <v>1</v>
      </c>
      <c r="I47" s="190"/>
      <c r="J47" s="191"/>
      <c r="K47" s="1"/>
      <c r="L47" s="1"/>
      <c r="M47" s="93"/>
    </row>
    <row r="48" spans="2:13" ht="24.95" customHeight="1">
      <c r="B48" s="48" t="s">
        <v>297</v>
      </c>
      <c r="C48" s="48" t="s">
        <v>228</v>
      </c>
      <c r="D48" s="49" t="s">
        <v>54</v>
      </c>
      <c r="E48" s="50" t="s">
        <v>36</v>
      </c>
      <c r="F48" s="49" t="s">
        <v>17</v>
      </c>
      <c r="G48" s="47">
        <f>431.83</f>
        <v>431.83</v>
      </c>
      <c r="H48" s="189">
        <v>431.83</v>
      </c>
      <c r="I48" s="190"/>
      <c r="J48" s="191"/>
      <c r="K48" s="1"/>
      <c r="L48" s="1"/>
      <c r="M48" s="93"/>
    </row>
    <row r="49" spans="2:12" ht="3.75" customHeight="1">
      <c r="B49" s="163"/>
      <c r="C49" s="163"/>
      <c r="D49" s="163"/>
      <c r="E49" s="163"/>
      <c r="F49" s="163"/>
      <c r="G49" s="163"/>
      <c r="H49" s="163"/>
      <c r="I49" s="163"/>
      <c r="J49" s="164"/>
      <c r="K49" s="1"/>
      <c r="L49" s="1"/>
    </row>
    <row r="50" spans="2:12" ht="83.25" customHeight="1">
      <c r="B50" s="6" t="s">
        <v>37</v>
      </c>
      <c r="C50" s="6"/>
      <c r="D50" s="7"/>
      <c r="E50" s="6"/>
      <c r="F50" s="7"/>
      <c r="G50" s="22" t="s">
        <v>37</v>
      </c>
      <c r="H50" s="7"/>
      <c r="I50" s="6"/>
      <c r="J50" s="7"/>
    </row>
    <row r="51" spans="2:12">
      <c r="B51" s="7" t="str">
        <f t="array" ref="B51">PROPER(IF(B4=VLOOKUP('MEMÓRIA DE CÁLCULO'!B4:B4,DADOS!B:F,1,0),B4,0))</f>
        <v>Prefeitura Municipal De Santos Dumont</v>
      </c>
      <c r="C51" s="7"/>
      <c r="G51" s="187" t="s">
        <v>38</v>
      </c>
      <c r="H51" s="187"/>
      <c r="I51" s="187"/>
      <c r="J51" s="187"/>
    </row>
    <row r="52" spans="2:12">
      <c r="B52" t="str">
        <f t="array" ref="B52">PROPER(IF(B4=VLOOKUP('MEMÓRIA DE CÁLCULO'!B4:B4,DADOS!B:D,1,0),VLOOKUP('MEMÓRIA DE CÁLCULO'!B4:B4,DADOS!B:D,3,0),0))</f>
        <v>Carlos Alberto De Azevedo</v>
      </c>
      <c r="C52" s="4"/>
      <c r="G52" s="188" t="s">
        <v>39</v>
      </c>
      <c r="H52" s="188"/>
      <c r="I52" s="188"/>
      <c r="J52" s="188"/>
    </row>
    <row r="53" spans="2:12">
      <c r="B53" t="str">
        <f t="array" ref="B53">PROPER(IF(B4=VLOOKUP('MEMÓRIA DE CÁLCULO'!B4:B4,DADOS!B:D,1,0),VLOOKUP('MEMÓRIA DE CÁLCULO'!B4:B4,DADOS!B:D,2,0),0))</f>
        <v>Prefeito Municipal De Santos Dumont</v>
      </c>
      <c r="C53" s="4"/>
      <c r="G53" s="188" t="str">
        <f>IF(G52=DADOS!AS7,"Engenheira Civil","Engenheiro Civil")</f>
        <v>Engenheiro Civil</v>
      </c>
      <c r="H53" s="188"/>
      <c r="I53" s="188"/>
      <c r="J53" s="188"/>
    </row>
    <row r="54" spans="2:12">
      <c r="B54" s="4"/>
      <c r="C54" s="4"/>
      <c r="D54" s="1"/>
      <c r="E54" s="1"/>
      <c r="G54" s="188" t="str" cm="1">
        <f t="array" ref="G54">IF(G52=VLOOKUP('MEMÓRIA DE CÁLCULO'!G52:G52,DADOS!AS:AT,1,0),VLOOKUP('MEMÓRIA DE CÁLCULO'!G52:G52,DADOS!AS:AT,2,0),0)</f>
        <v>CREA-MG 59.552/D</v>
      </c>
      <c r="H54" s="188"/>
      <c r="I54" s="188"/>
      <c r="J54" s="188"/>
    </row>
    <row r="55" spans="2:12">
      <c r="B55" s="1"/>
      <c r="C55" s="1"/>
      <c r="E55" s="1"/>
      <c r="I55" s="1"/>
    </row>
    <row r="56" spans="2:12">
      <c r="D56" s="1"/>
      <c r="H56" s="2"/>
      <c r="I56" s="2"/>
    </row>
    <row r="57" spans="2:12">
      <c r="B57" s="4"/>
      <c r="C57" s="4"/>
      <c r="D57" s="1"/>
      <c r="E57" s="1"/>
      <c r="H57" s="2"/>
      <c r="I57" s="2"/>
    </row>
  </sheetData>
  <sheetProtection selectLockedCells="1" selectUnlockedCells="1"/>
  <mergeCells count="59">
    <mergeCell ref="B1:J1"/>
    <mergeCell ref="B2:J2"/>
    <mergeCell ref="F3:H3"/>
    <mergeCell ref="I3:J3"/>
    <mergeCell ref="B4:E4"/>
    <mergeCell ref="F4:H4"/>
    <mergeCell ref="I4:J4"/>
    <mergeCell ref="F5:H5"/>
    <mergeCell ref="I5:J5"/>
    <mergeCell ref="F6:H6"/>
    <mergeCell ref="I6:J6"/>
    <mergeCell ref="F7:H7"/>
    <mergeCell ref="I7:J7"/>
    <mergeCell ref="F8:H8"/>
    <mergeCell ref="I8:J8"/>
    <mergeCell ref="B49:J49"/>
    <mergeCell ref="G51:J51"/>
    <mergeCell ref="G52:J52"/>
    <mergeCell ref="H17:J17"/>
    <mergeCell ref="H18:J18"/>
    <mergeCell ref="H19:J19"/>
    <mergeCell ref="H26:J26"/>
    <mergeCell ref="H44:J44"/>
    <mergeCell ref="H45:J45"/>
    <mergeCell ref="H46:J46"/>
    <mergeCell ref="H47:J47"/>
    <mergeCell ref="H48:J48"/>
    <mergeCell ref="H27:J27"/>
    <mergeCell ref="H32:J32"/>
    <mergeCell ref="G53:J53"/>
    <mergeCell ref="G54:J54"/>
    <mergeCell ref="H10:J10"/>
    <mergeCell ref="H11:J11"/>
    <mergeCell ref="H12:J12"/>
    <mergeCell ref="H14:J14"/>
    <mergeCell ref="H15:J15"/>
    <mergeCell ref="H13:J13"/>
    <mergeCell ref="H16:J16"/>
    <mergeCell ref="H24:J24"/>
    <mergeCell ref="H35:J35"/>
    <mergeCell ref="H20:J20"/>
    <mergeCell ref="H21:J21"/>
    <mergeCell ref="H22:J22"/>
    <mergeCell ref="H23:J23"/>
    <mergeCell ref="H25:J25"/>
    <mergeCell ref="H34:J34"/>
    <mergeCell ref="H42:J42"/>
    <mergeCell ref="H43:J43"/>
    <mergeCell ref="H36:J36"/>
    <mergeCell ref="H37:J37"/>
    <mergeCell ref="H38:J38"/>
    <mergeCell ref="H39:J39"/>
    <mergeCell ref="H40:J40"/>
    <mergeCell ref="H41:J41"/>
    <mergeCell ref="H28:J28"/>
    <mergeCell ref="H29:J29"/>
    <mergeCell ref="H30:J30"/>
    <mergeCell ref="H31:J31"/>
    <mergeCell ref="H33:J33"/>
  </mergeCells>
  <pageMargins left="0.47244094488188981" right="0.35433070866141736" top="0.43307086614173229" bottom="0.35433070866141736" header="0.43307086614173229" footer="0.35433070866141736"/>
  <pageSetup paperSize="9" scale="77" firstPageNumber="0" fitToHeight="0" orientation="landscape" horizontalDpi="360" verticalDpi="360" r:id="rId1"/>
  <headerFooter alignWithMargins="0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2988D78D-95C6-45C1-823D-EE430A86237E}">
          <x14:formula1>
            <xm:f>DADOS!$AS$3:$AS$7</xm:f>
          </x14:formula1>
          <xm:sqref>G52</xm:sqref>
        </x14:dataValidation>
        <x14:dataValidation type="list" allowBlank="1" showInputMessage="1" showErrorMessage="1" xr:uid="{2A3B1AC1-116D-49A8-9C3E-6BF0F64BD2DE}">
          <x14:formula1>
            <xm:f>DADOS!$B$2:$B$20</xm:f>
          </x14:formula1>
          <xm:sqref>B4:E4</xm:sqref>
        </x14:dataValidation>
        <x14:dataValidation type="list" allowBlank="1" showInputMessage="1" showErrorMessage="1" xr:uid="{8F0331D1-C63C-4C0A-B542-2F34348AF067}">
          <x14:formula1>
            <xm:f>DADOS!$AM$10:$AM$11</xm:f>
          </x14:formula1>
          <xm:sqref>F8:H8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52"/>
  <sheetViews>
    <sheetView view="pageBreakPreview" topLeftCell="A30" zoomScaleSheetLayoutView="100" workbookViewId="0">
      <selection activeCell="C21" sqref="C21"/>
    </sheetView>
  </sheetViews>
  <sheetFormatPr defaultRowHeight="15"/>
  <cols>
    <col min="1" max="1" width="14.42578125" customWidth="1"/>
    <col min="2" max="2" width="39.140625" customWidth="1"/>
    <col min="3" max="3" width="15.42578125" customWidth="1"/>
    <col min="4" max="4" width="14.28515625" customWidth="1"/>
    <col min="5" max="5" width="14.7109375" customWidth="1"/>
    <col min="6" max="6" width="14.5703125" customWidth="1"/>
    <col min="7" max="7" width="14.42578125" customWidth="1"/>
    <col min="8" max="8" width="13.85546875" customWidth="1"/>
    <col min="9" max="9" width="13.5703125" customWidth="1"/>
    <col min="10" max="10" width="13.140625" customWidth="1"/>
    <col min="11" max="11" width="15" customWidth="1"/>
    <col min="12" max="12" width="14.28515625" customWidth="1"/>
    <col min="13" max="13" width="15.7109375" customWidth="1"/>
  </cols>
  <sheetData>
    <row r="1" spans="1:13" ht="120" customHeight="1" thickBot="1">
      <c r="A1" s="203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5"/>
    </row>
    <row r="2" spans="1:13" s="36" customFormat="1" ht="24.95" customHeight="1" thickBot="1">
      <c r="A2" s="199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1"/>
    </row>
    <row r="3" spans="1:13" s="36" customFormat="1" ht="20.100000000000001" customHeight="1">
      <c r="A3" s="106" t="s">
        <v>84</v>
      </c>
      <c r="B3" s="107"/>
      <c r="C3" s="107"/>
      <c r="D3" s="107"/>
      <c r="E3" s="61"/>
      <c r="F3" s="61"/>
      <c r="G3" s="61"/>
      <c r="H3" s="108"/>
      <c r="I3" s="172" t="s">
        <v>87</v>
      </c>
      <c r="J3" s="172"/>
      <c r="K3" s="172"/>
      <c r="L3" s="206" t="s">
        <v>81</v>
      </c>
      <c r="M3" s="207"/>
    </row>
    <row r="4" spans="1:13" s="36" customFormat="1">
      <c r="A4" s="184" t="str">
        <f>'P. O.'!B4</f>
        <v>PREFEITURA MUNICIPAL DE SANTOS DUMONT</v>
      </c>
      <c r="B4" s="185"/>
      <c r="C4" s="185"/>
      <c r="D4" s="185"/>
      <c r="E4" s="185"/>
      <c r="F4" s="185"/>
      <c r="G4" s="185"/>
      <c r="H4" s="198"/>
      <c r="I4" s="166" t="str">
        <f>'P. O.'!F4</f>
        <v>SICOR LESTE - JANEIRO/2024</v>
      </c>
      <c r="J4" s="166"/>
      <c r="K4" s="166"/>
      <c r="L4" s="208">
        <f>'P. O.'!I4</f>
        <v>45419</v>
      </c>
      <c r="M4" s="209"/>
    </row>
    <row r="5" spans="1:13" s="36" customFormat="1">
      <c r="A5" s="63" t="s">
        <v>85</v>
      </c>
      <c r="B5" s="64"/>
      <c r="C5" s="64"/>
      <c r="D5" s="64"/>
      <c r="H5" s="109"/>
      <c r="I5" s="166" t="str">
        <f>'P. O.'!F5</f>
        <v>SINAPI MG - MARÇO/2024</v>
      </c>
      <c r="J5" s="166"/>
      <c r="K5" s="166"/>
      <c r="L5" s="210" t="s">
        <v>82</v>
      </c>
      <c r="M5" s="174"/>
    </row>
    <row r="6" spans="1:13" s="67" customFormat="1">
      <c r="A6" s="65" t="str">
        <f>'P. O.'!B6</f>
        <v>REFORMA DE EDIFICAÇÃO ESCOLAR</v>
      </c>
      <c r="B6" s="66"/>
      <c r="C6" s="66"/>
      <c r="D6" s="66"/>
      <c r="H6" s="110"/>
      <c r="I6" s="166"/>
      <c r="J6" s="166"/>
      <c r="K6" s="166"/>
      <c r="L6" s="211">
        <f>'P. O.'!I6</f>
        <v>0.05</v>
      </c>
      <c r="M6" s="178"/>
    </row>
    <row r="7" spans="1:13" s="36" customFormat="1">
      <c r="A7" s="63" t="s">
        <v>86</v>
      </c>
      <c r="B7" s="64"/>
      <c r="C7" s="64"/>
      <c r="D7" s="64"/>
      <c r="H7" s="109"/>
      <c r="I7" s="172" t="s">
        <v>83</v>
      </c>
      <c r="J7" s="172"/>
      <c r="K7" s="172"/>
      <c r="L7" s="210" t="s">
        <v>80</v>
      </c>
      <c r="M7" s="174"/>
    </row>
    <row r="8" spans="1:13" s="67" customFormat="1" ht="15.75" thickBot="1">
      <c r="A8" s="71" t="str">
        <f>'P. O.'!B8</f>
        <v xml:space="preserve">DISTRITO DE FORMOSO </v>
      </c>
      <c r="B8" s="72"/>
      <c r="C8" s="72"/>
      <c r="D8" s="72"/>
      <c r="E8" s="111"/>
      <c r="F8" s="111"/>
      <c r="G8" s="111"/>
      <c r="H8" s="112"/>
      <c r="I8" s="182" t="str">
        <f>'P. O.'!F8</f>
        <v>NÃO DESONERADO</v>
      </c>
      <c r="J8" s="182"/>
      <c r="K8" s="182"/>
      <c r="L8" s="212">
        <f>'P. O.'!I8</f>
        <v>0.23213294482685121</v>
      </c>
      <c r="M8" s="180"/>
    </row>
    <row r="9" spans="1:13" ht="9.9499999999999993" customHeight="1" thickBot="1">
      <c r="A9" s="202"/>
      <c r="B9" s="202"/>
      <c r="C9" s="202"/>
      <c r="D9" s="202"/>
      <c r="E9" s="202"/>
    </row>
    <row r="10" spans="1:13" s="5" customFormat="1" ht="41.25" customHeight="1" thickBot="1">
      <c r="A10" s="120" t="s">
        <v>0</v>
      </c>
      <c r="B10" s="120" t="s">
        <v>2</v>
      </c>
      <c r="C10" s="121" t="s">
        <v>12</v>
      </c>
      <c r="D10" s="120">
        <v>1</v>
      </c>
      <c r="E10" s="120">
        <v>2</v>
      </c>
      <c r="F10" s="120">
        <v>3</v>
      </c>
      <c r="G10" s="120">
        <v>4</v>
      </c>
      <c r="H10" s="120">
        <v>5</v>
      </c>
      <c r="I10" s="120">
        <v>6</v>
      </c>
      <c r="J10" s="120">
        <v>7</v>
      </c>
      <c r="K10" s="120">
        <v>8</v>
      </c>
      <c r="L10" s="120">
        <v>9</v>
      </c>
      <c r="M10" s="120">
        <v>10</v>
      </c>
    </row>
    <row r="11" spans="1:13" s="5" customFormat="1" ht="21.95" customHeight="1">
      <c r="A11" s="115"/>
      <c r="B11" s="115"/>
      <c r="C11" s="116"/>
      <c r="D11" s="116"/>
      <c r="E11" s="117"/>
      <c r="F11" s="118"/>
      <c r="G11" s="118"/>
      <c r="H11" s="119"/>
      <c r="I11" s="118"/>
      <c r="J11" s="118"/>
      <c r="K11" s="118"/>
      <c r="L11" s="118"/>
      <c r="M11" s="118"/>
    </row>
    <row r="12" spans="1:13" s="5" customFormat="1" ht="21.95" customHeight="1">
      <c r="A12" s="8">
        <v>1</v>
      </c>
      <c r="B12" s="8" t="str">
        <f>'P. O.'!E11</f>
        <v>SERVIÇOS PRELIMINARES</v>
      </c>
      <c r="C12" s="23">
        <f>C13/$C$38</f>
        <v>1.1368296059216954E-2</v>
      </c>
      <c r="D12" s="23">
        <v>1</v>
      </c>
      <c r="E12" s="23"/>
      <c r="F12" s="23"/>
      <c r="G12" s="23"/>
      <c r="H12" s="23"/>
      <c r="I12" s="23"/>
      <c r="J12" s="23"/>
      <c r="K12" s="23"/>
      <c r="L12" s="23"/>
      <c r="M12" s="23"/>
    </row>
    <row r="13" spans="1:13" s="5" customFormat="1" ht="21.95" customHeight="1">
      <c r="A13" s="8"/>
      <c r="B13" s="8"/>
      <c r="C13" s="31">
        <f>'P. O.'!J11</f>
        <v>1708.35</v>
      </c>
      <c r="D13" s="32">
        <f>D12*$C$13</f>
        <v>1708.35</v>
      </c>
      <c r="E13" s="32"/>
      <c r="F13" s="32"/>
      <c r="G13" s="32"/>
      <c r="H13" s="32"/>
      <c r="I13" s="32"/>
      <c r="J13" s="32"/>
      <c r="K13" s="32"/>
      <c r="L13" s="32"/>
      <c r="M13" s="32"/>
    </row>
    <row r="14" spans="1:13" s="5" customFormat="1" ht="21.95" customHeight="1">
      <c r="A14" s="8"/>
      <c r="B14" s="8"/>
      <c r="C14" s="9"/>
      <c r="D14" s="24"/>
      <c r="E14" s="25"/>
      <c r="F14" s="26"/>
      <c r="G14" s="26"/>
      <c r="H14" s="27"/>
      <c r="I14" s="26"/>
      <c r="J14" s="26"/>
      <c r="K14" s="26"/>
      <c r="L14" s="26"/>
      <c r="M14" s="26"/>
    </row>
    <row r="15" spans="1:13" s="5" customFormat="1" ht="21.95" customHeight="1">
      <c r="A15" s="10" t="s">
        <v>7</v>
      </c>
      <c r="B15" s="8" t="str">
        <f>'P. O.'!E13</f>
        <v>ADMINISTRAÇÃO  LOCAL DE OBRA</v>
      </c>
      <c r="C15" s="23">
        <f>C16/$C$38</f>
        <v>0.19868209350464269</v>
      </c>
      <c r="D15" s="23">
        <v>0.5</v>
      </c>
      <c r="E15" s="23">
        <v>0.5</v>
      </c>
      <c r="F15" s="23"/>
      <c r="G15" s="23"/>
      <c r="H15" s="23"/>
      <c r="I15" s="23"/>
      <c r="J15" s="23"/>
      <c r="K15" s="23"/>
      <c r="L15" s="23"/>
      <c r="M15" s="23"/>
    </row>
    <row r="16" spans="1:13" s="5" customFormat="1" ht="21.95" customHeight="1">
      <c r="A16" s="8"/>
      <c r="B16" s="8"/>
      <c r="C16" s="31">
        <f>'P. O.'!J13</f>
        <v>29856.59</v>
      </c>
      <c r="D16" s="32">
        <f>D15*$C$16</f>
        <v>14928.295</v>
      </c>
      <c r="E16" s="32">
        <f t="shared" ref="E16" si="0">E15*$C$16</f>
        <v>14928.295</v>
      </c>
      <c r="F16" s="32"/>
      <c r="G16" s="32"/>
      <c r="H16" s="32"/>
      <c r="I16" s="32"/>
      <c r="J16" s="32"/>
      <c r="K16" s="32"/>
      <c r="L16" s="32"/>
      <c r="M16" s="32"/>
    </row>
    <row r="17" spans="1:13" s="5" customFormat="1" ht="21.95" customHeight="1">
      <c r="A17" s="8"/>
      <c r="B17" s="8"/>
      <c r="C17" s="9"/>
      <c r="D17" s="28"/>
      <c r="E17" s="129"/>
      <c r="F17" s="130"/>
      <c r="G17" s="130"/>
      <c r="H17" s="130"/>
      <c r="I17" s="130"/>
      <c r="J17" s="130"/>
      <c r="K17" s="130"/>
      <c r="L17" s="130"/>
      <c r="M17" s="130"/>
    </row>
    <row r="18" spans="1:13" s="5" customFormat="1" ht="21.95" customHeight="1">
      <c r="A18" s="10" t="s">
        <v>8</v>
      </c>
      <c r="B18" s="8" t="str">
        <f>'P. O.'!E16</f>
        <v>DEMOLIÇÃO</v>
      </c>
      <c r="C18" s="23">
        <f>C19/$C$38</f>
        <v>3.8411777803597426E-2</v>
      </c>
      <c r="D18" s="23">
        <v>1</v>
      </c>
      <c r="E18" s="23"/>
      <c r="F18" s="23"/>
      <c r="G18" s="23"/>
      <c r="H18" s="23"/>
      <c r="I18" s="23"/>
      <c r="J18" s="23"/>
      <c r="K18" s="23"/>
      <c r="L18" s="23"/>
      <c r="M18" s="23"/>
    </row>
    <row r="19" spans="1:13" s="5" customFormat="1" ht="21.95" customHeight="1">
      <c r="A19" s="8"/>
      <c r="B19" s="8"/>
      <c r="C19" s="31">
        <f>'P. O.'!J16</f>
        <v>5772.26</v>
      </c>
      <c r="D19" s="32">
        <f>D18*$C$19</f>
        <v>5772.26</v>
      </c>
      <c r="E19" s="32"/>
      <c r="F19" s="32"/>
      <c r="G19" s="32"/>
      <c r="H19" s="32"/>
      <c r="I19" s="32"/>
      <c r="J19" s="32"/>
      <c r="K19" s="32"/>
      <c r="L19" s="32"/>
      <c r="M19" s="32"/>
    </row>
    <row r="20" spans="1:13" s="137" customFormat="1" ht="21.95" customHeight="1">
      <c r="A20" s="134"/>
      <c r="B20" s="134"/>
      <c r="C20" s="135"/>
      <c r="D20" s="136"/>
      <c r="E20" s="134"/>
      <c r="F20" s="26"/>
      <c r="G20" s="26"/>
      <c r="H20" s="26"/>
      <c r="I20" s="26"/>
      <c r="J20" s="26"/>
      <c r="K20" s="26"/>
      <c r="L20" s="26"/>
      <c r="M20" s="26"/>
    </row>
    <row r="21" spans="1:13" s="5" customFormat="1" ht="21.95" customHeight="1">
      <c r="A21" s="131" t="s">
        <v>9</v>
      </c>
      <c r="B21" s="132" t="str">
        <f>'P. O.'!E24</f>
        <v>ALVENARIA/REVESTIMENTOS</v>
      </c>
      <c r="C21" s="133">
        <f>C22/$C$38</f>
        <v>3.8371584337271628E-2</v>
      </c>
      <c r="D21" s="133">
        <v>1</v>
      </c>
      <c r="E21" s="133"/>
      <c r="F21" s="133"/>
      <c r="G21" s="133"/>
      <c r="H21" s="133"/>
      <c r="I21" s="133"/>
      <c r="J21" s="133"/>
      <c r="K21" s="133"/>
      <c r="L21" s="133"/>
      <c r="M21" s="133"/>
    </row>
    <row r="22" spans="1:13" s="5" customFormat="1" ht="21.95" customHeight="1">
      <c r="A22" s="8"/>
      <c r="B22" s="8"/>
      <c r="C22" s="31">
        <f>'P. O.'!J24</f>
        <v>5766.2199999999993</v>
      </c>
      <c r="D22" s="32">
        <f>D21*$C$22</f>
        <v>5766.2199999999993</v>
      </c>
      <c r="E22" s="32"/>
      <c r="F22" s="32"/>
      <c r="G22" s="32"/>
      <c r="H22" s="32"/>
      <c r="I22" s="32"/>
      <c r="J22" s="32"/>
      <c r="K22" s="32"/>
      <c r="L22" s="32"/>
      <c r="M22" s="32"/>
    </row>
    <row r="23" spans="1:13" s="5" customFormat="1" ht="21.95" customHeight="1">
      <c r="A23" s="8"/>
      <c r="B23" s="12"/>
      <c r="C23" s="11"/>
      <c r="D23" s="24"/>
      <c r="E23" s="25"/>
      <c r="F23" s="26"/>
      <c r="G23" s="26"/>
      <c r="H23" s="26"/>
      <c r="I23" s="26"/>
      <c r="J23" s="26"/>
      <c r="K23" s="26"/>
      <c r="L23" s="26"/>
      <c r="M23" s="26"/>
    </row>
    <row r="24" spans="1:13" s="5" customFormat="1" ht="21.95" customHeight="1">
      <c r="A24" s="10" t="s">
        <v>10</v>
      </c>
      <c r="B24" s="8" t="str">
        <f>'P. O.'!E27</f>
        <v>PISOS</v>
      </c>
      <c r="C24" s="23">
        <f>C25/$C$38</f>
        <v>0.13241704208295849</v>
      </c>
      <c r="D24" s="23">
        <v>1</v>
      </c>
      <c r="E24" s="23"/>
      <c r="F24" s="23"/>
      <c r="G24" s="23"/>
      <c r="H24" s="23"/>
      <c r="I24" s="23"/>
      <c r="J24" s="23"/>
      <c r="K24" s="23"/>
      <c r="L24" s="23"/>
      <c r="M24" s="23"/>
    </row>
    <row r="25" spans="1:13" s="5" customFormat="1" ht="21.95" customHeight="1">
      <c r="A25" s="8"/>
      <c r="B25" s="8"/>
      <c r="C25" s="31">
        <f>'P. O.'!J27</f>
        <v>19898.729999999996</v>
      </c>
      <c r="D25" s="32">
        <f>D24*$C$25</f>
        <v>19898.729999999996</v>
      </c>
      <c r="E25" s="32"/>
      <c r="F25" s="32"/>
      <c r="G25" s="32"/>
      <c r="H25" s="32"/>
      <c r="I25" s="32"/>
      <c r="J25" s="32"/>
      <c r="K25" s="32"/>
      <c r="L25" s="32"/>
      <c r="M25" s="32"/>
    </row>
    <row r="26" spans="1:13" s="5" customFormat="1" ht="21.95" customHeight="1">
      <c r="A26" s="8"/>
      <c r="B26" s="8"/>
      <c r="C26" s="13"/>
      <c r="D26" s="28"/>
      <c r="E26" s="29"/>
      <c r="F26" s="26"/>
      <c r="G26" s="26"/>
      <c r="H26" s="26"/>
      <c r="I26" s="26"/>
      <c r="J26" s="26"/>
      <c r="K26" s="26"/>
      <c r="L26" s="26"/>
      <c r="M26" s="26"/>
    </row>
    <row r="27" spans="1:13" s="5" customFormat="1" ht="21.95" customHeight="1">
      <c r="A27" s="10" t="s">
        <v>21</v>
      </c>
      <c r="B27" s="8" t="str">
        <f>'P. O.'!E32</f>
        <v>ESQUADRIAS</v>
      </c>
      <c r="C27" s="23">
        <f>C28/$C$38</f>
        <v>8.9375229831430997E-3</v>
      </c>
      <c r="D27" s="23">
        <v>1</v>
      </c>
      <c r="E27" s="23"/>
      <c r="F27" s="23"/>
      <c r="G27" s="23"/>
      <c r="H27" s="23"/>
      <c r="I27" s="23"/>
      <c r="J27" s="23"/>
      <c r="K27" s="23"/>
      <c r="L27" s="23"/>
      <c r="M27" s="23"/>
    </row>
    <row r="28" spans="1:13" s="5" customFormat="1" ht="21.95" customHeight="1">
      <c r="A28" s="8"/>
      <c r="B28" s="8"/>
      <c r="C28" s="31">
        <f>'P. O.'!J32</f>
        <v>1343.07</v>
      </c>
      <c r="D28" s="32">
        <f>D27*$C$28</f>
        <v>1343.07</v>
      </c>
      <c r="E28" s="32"/>
      <c r="F28" s="32"/>
      <c r="G28" s="32"/>
      <c r="H28" s="32"/>
      <c r="I28" s="32"/>
      <c r="J28" s="32"/>
      <c r="K28" s="32"/>
      <c r="L28" s="32"/>
      <c r="M28" s="32"/>
    </row>
    <row r="29" spans="1:13" s="5" customFormat="1" ht="21.95" customHeight="1">
      <c r="A29" s="8"/>
      <c r="B29" s="8"/>
      <c r="C29" s="13"/>
      <c r="D29" s="28"/>
      <c r="E29" s="30"/>
      <c r="F29" s="26"/>
      <c r="G29" s="26"/>
      <c r="H29" s="26"/>
      <c r="I29" s="26"/>
      <c r="J29" s="26"/>
      <c r="K29" s="26"/>
      <c r="L29" s="26"/>
      <c r="M29" s="26"/>
    </row>
    <row r="30" spans="1:13" s="5" customFormat="1" ht="21.95" customHeight="1">
      <c r="A30" s="10" t="s">
        <v>23</v>
      </c>
      <c r="B30" s="8" t="str">
        <f>'P. O.'!E34</f>
        <v>PINTURA</v>
      </c>
      <c r="C30" s="23">
        <f>C31/$C$38</f>
        <v>0.24969891500266383</v>
      </c>
      <c r="D30" s="23"/>
      <c r="E30" s="23">
        <v>1</v>
      </c>
      <c r="F30" s="23"/>
      <c r="G30" s="23"/>
      <c r="H30" s="23"/>
      <c r="I30" s="23"/>
      <c r="J30" s="23"/>
      <c r="K30" s="23"/>
      <c r="L30" s="23"/>
      <c r="M30" s="23"/>
    </row>
    <row r="31" spans="1:13" s="5" customFormat="1" ht="21.95" customHeight="1">
      <c r="A31" s="8"/>
      <c r="B31" s="8"/>
      <c r="C31" s="31">
        <f>'P. O.'!J34</f>
        <v>37523.050000000003</v>
      </c>
      <c r="D31" s="32"/>
      <c r="E31" s="32">
        <f t="shared" ref="E31" si="1">E30*$C$31</f>
        <v>37523.050000000003</v>
      </c>
      <c r="F31" s="32"/>
      <c r="G31" s="32"/>
      <c r="H31" s="32"/>
      <c r="I31" s="32"/>
      <c r="J31" s="32"/>
      <c r="K31" s="32"/>
      <c r="L31" s="32"/>
      <c r="M31" s="32"/>
    </row>
    <row r="32" spans="1:13" s="5" customFormat="1" ht="21.95" customHeight="1">
      <c r="A32" s="8"/>
      <c r="B32" s="8"/>
      <c r="C32" s="13"/>
      <c r="D32" s="28"/>
      <c r="E32" s="30"/>
      <c r="F32" s="26"/>
      <c r="G32" s="26"/>
      <c r="H32" s="26"/>
      <c r="I32" s="26"/>
      <c r="J32" s="26"/>
      <c r="K32" s="26"/>
      <c r="L32" s="26"/>
      <c r="M32" s="26"/>
    </row>
    <row r="33" spans="1:13" s="5" customFormat="1" ht="21.95" customHeight="1">
      <c r="A33" s="10" t="s">
        <v>24</v>
      </c>
      <c r="B33" s="8" t="str">
        <f>'P. O.'!E42</f>
        <v>SERVIÇOS COMPLEMENTARES</v>
      </c>
      <c r="C33" s="23">
        <f>C34/$C$38</f>
        <v>0.32211276822650586</v>
      </c>
      <c r="D33" s="23">
        <v>0.52</v>
      </c>
      <c r="E33" s="23">
        <v>0.48</v>
      </c>
      <c r="F33" s="23"/>
      <c r="G33" s="23"/>
      <c r="H33" s="23"/>
      <c r="I33" s="23"/>
      <c r="J33" s="23"/>
      <c r="K33" s="23"/>
      <c r="L33" s="23"/>
      <c r="M33" s="23"/>
    </row>
    <row r="34" spans="1:13" s="5" customFormat="1" ht="21.95" customHeight="1">
      <c r="A34" s="8"/>
      <c r="B34" s="8"/>
      <c r="C34" s="31">
        <f>'P. O.'!J42</f>
        <v>48404.909999999996</v>
      </c>
      <c r="D34" s="32">
        <f>D33*$C$34</f>
        <v>25170.553199999998</v>
      </c>
      <c r="E34" s="32">
        <f t="shared" ref="E34" si="2">E33*$C$34</f>
        <v>23234.356799999998</v>
      </c>
      <c r="F34" s="32"/>
      <c r="G34" s="32"/>
      <c r="H34" s="32"/>
      <c r="I34" s="32"/>
      <c r="J34" s="32"/>
      <c r="K34" s="32"/>
      <c r="L34" s="32"/>
      <c r="M34" s="32"/>
    </row>
    <row r="35" spans="1:13" s="5" customFormat="1" ht="21.95" customHeight="1">
      <c r="A35" s="8"/>
      <c r="B35" s="8"/>
      <c r="C35" s="13"/>
      <c r="D35" s="28"/>
      <c r="E35" s="30"/>
      <c r="F35" s="26"/>
      <c r="G35" s="26"/>
      <c r="H35" s="26"/>
      <c r="I35" s="26"/>
      <c r="J35" s="26"/>
      <c r="K35" s="26"/>
      <c r="L35" s="26"/>
      <c r="M35" s="26"/>
    </row>
    <row r="36" spans="1:13" s="5" customFormat="1" ht="21.95" customHeight="1">
      <c r="A36" s="8"/>
      <c r="B36" s="8"/>
      <c r="C36" s="14"/>
      <c r="D36" s="28"/>
      <c r="E36" s="30"/>
      <c r="F36" s="26"/>
      <c r="G36" s="26"/>
      <c r="H36" s="26"/>
      <c r="I36" s="26"/>
      <c r="J36" s="26"/>
      <c r="K36" s="26"/>
      <c r="L36" s="26"/>
      <c r="M36" s="26"/>
    </row>
    <row r="37" spans="1:13" s="15" customFormat="1" ht="21.95" customHeight="1">
      <c r="A37" s="16"/>
      <c r="B37" s="17" t="s">
        <v>13</v>
      </c>
      <c r="C37" s="33">
        <f>C18+C33+C30+C27+C24+C21+C15+C12</f>
        <v>1</v>
      </c>
      <c r="D37" s="34">
        <f>D38/$C$38</f>
        <v>0.49634590949629204</v>
      </c>
      <c r="E37" s="34">
        <f t="shared" ref="E37" si="3">E38/$C$38</f>
        <v>0.50365409050370802</v>
      </c>
      <c r="F37" s="34"/>
      <c r="G37" s="34"/>
      <c r="H37" s="34"/>
      <c r="I37" s="34"/>
      <c r="J37" s="34"/>
      <c r="K37" s="34"/>
      <c r="L37" s="34"/>
      <c r="M37" s="34"/>
    </row>
    <row r="38" spans="1:13" s="15" customFormat="1" ht="21.95" customHeight="1">
      <c r="A38" s="20"/>
      <c r="B38" s="21" t="s">
        <v>14</v>
      </c>
      <c r="C38" s="35">
        <f>C13+C16+C19+C22+C25+C28+C31+C34</f>
        <v>150273.18</v>
      </c>
      <c r="D38" s="35">
        <f>D13+D16+D19+D22+D25+D28+D31+D34</f>
        <v>74587.478199999998</v>
      </c>
      <c r="E38" s="35">
        <f>E13+E16+E19+E22+E25+E28+E31+E34</f>
        <v>75685.701799999995</v>
      </c>
      <c r="F38" s="35"/>
      <c r="G38" s="35"/>
      <c r="H38" s="35"/>
      <c r="I38" s="35"/>
      <c r="J38" s="35"/>
      <c r="K38" s="35"/>
      <c r="L38" s="35"/>
      <c r="M38" s="35"/>
    </row>
    <row r="39" spans="1:13" ht="71.25" customHeight="1">
      <c r="A39" s="6" t="s">
        <v>43</v>
      </c>
      <c r="C39" s="6"/>
      <c r="D39" s="7"/>
      <c r="F39" s="7"/>
      <c r="G39" s="6"/>
      <c r="H39" s="7"/>
      <c r="J39" s="6" t="s">
        <v>43</v>
      </c>
    </row>
    <row r="40" spans="1:13">
      <c r="A40" s="7" t="str">
        <f>'P. O.'!$B$52</f>
        <v>Prefeitura Municipal De Santos Dumont</v>
      </c>
      <c r="F40" s="2"/>
      <c r="G40" s="2"/>
      <c r="J40" s="7" t="s">
        <v>38</v>
      </c>
    </row>
    <row r="41" spans="1:13">
      <c r="A41" s="4" t="str">
        <f>'P. O.'!$B$53</f>
        <v>Carlos Alberto De Azevedo</v>
      </c>
      <c r="F41" s="2"/>
      <c r="G41" s="2"/>
      <c r="J41" t="str">
        <f>'P. O.'!G53</f>
        <v>Pedro Giovanni Vieira Vidal</v>
      </c>
    </row>
    <row r="42" spans="1:13">
      <c r="A42" s="4" t="str">
        <f>'P. O.'!$B$54</f>
        <v>Prefeito Municipal De Santos Dumont</v>
      </c>
      <c r="F42" s="2"/>
      <c r="G42" s="2"/>
      <c r="J42" t="str">
        <f>'P. O.'!G54</f>
        <v>Engenheiro Civil</v>
      </c>
    </row>
    <row r="43" spans="1:13">
      <c r="E43" s="3"/>
      <c r="J43" t="str">
        <f>'P. O.'!G55</f>
        <v>CREA-MG 59.552/D</v>
      </c>
    </row>
    <row r="44" spans="1:13">
      <c r="A44" s="4"/>
      <c r="E44" s="3"/>
    </row>
    <row r="45" spans="1:13">
      <c r="A45" s="5"/>
      <c r="E45" s="3"/>
    </row>
    <row r="46" spans="1:13">
      <c r="A46" s="4"/>
      <c r="E46" s="3"/>
    </row>
    <row r="47" spans="1:13">
      <c r="A47" s="5"/>
      <c r="E47" s="3"/>
    </row>
    <row r="48" spans="1:13">
      <c r="A48" s="19"/>
      <c r="B48" s="19"/>
      <c r="C48" s="19"/>
      <c r="D48" s="19"/>
      <c r="E48" s="19"/>
    </row>
    <row r="49" spans="1:5">
      <c r="A49" s="18"/>
      <c r="B49" s="18"/>
      <c r="C49" s="18"/>
      <c r="D49" s="18"/>
      <c r="E49" s="18"/>
    </row>
    <row r="50" spans="1:5">
      <c r="A50" s="18"/>
      <c r="B50" s="18"/>
      <c r="C50" s="18"/>
      <c r="D50" s="18"/>
      <c r="E50" s="18"/>
    </row>
    <row r="51" spans="1:5">
      <c r="A51" s="18"/>
      <c r="B51" s="18"/>
      <c r="C51" s="18"/>
      <c r="D51" s="18"/>
      <c r="E51" s="18"/>
    </row>
    <row r="52" spans="1:5">
      <c r="E52" s="3"/>
    </row>
    <row r="53" spans="1:5">
      <c r="E53" s="3"/>
    </row>
    <row r="54" spans="1:5">
      <c r="E54" s="3"/>
    </row>
    <row r="55" spans="1:5">
      <c r="E55" s="3"/>
    </row>
    <row r="56" spans="1:5">
      <c r="E56" s="3"/>
    </row>
    <row r="57" spans="1:5">
      <c r="E57" s="3"/>
    </row>
    <row r="58" spans="1:5">
      <c r="E58" s="3"/>
    </row>
    <row r="59" spans="1:5">
      <c r="E59" s="3"/>
    </row>
    <row r="60" spans="1:5">
      <c r="E60" s="3"/>
    </row>
    <row r="61" spans="1:5">
      <c r="E61" s="3"/>
    </row>
    <row r="62" spans="1:5">
      <c r="E62" s="3"/>
    </row>
    <row r="63" spans="1:5">
      <c r="E63" s="3"/>
    </row>
    <row r="64" spans="1:5">
      <c r="E64" s="3"/>
    </row>
    <row r="65" spans="5:5">
      <c r="E65" s="3"/>
    </row>
    <row r="66" spans="5:5">
      <c r="E66" s="3"/>
    </row>
    <row r="67" spans="5:5">
      <c r="E67" s="3"/>
    </row>
    <row r="68" spans="5:5">
      <c r="E68" s="3"/>
    </row>
    <row r="69" spans="5:5">
      <c r="E69" s="3"/>
    </row>
    <row r="70" spans="5:5">
      <c r="E70" s="3"/>
    </row>
    <row r="71" spans="5:5">
      <c r="E71" s="3"/>
    </row>
    <row r="72" spans="5:5">
      <c r="E72" s="3"/>
    </row>
    <row r="73" spans="5:5">
      <c r="E73" s="3"/>
    </row>
    <row r="74" spans="5:5">
      <c r="E74" s="3"/>
    </row>
    <row r="75" spans="5:5">
      <c r="E75" s="3"/>
    </row>
    <row r="76" spans="5:5">
      <c r="E76" s="3"/>
    </row>
    <row r="77" spans="5:5">
      <c r="E77" s="3"/>
    </row>
    <row r="78" spans="5:5">
      <c r="E78" s="3"/>
    </row>
    <row r="79" spans="5:5">
      <c r="E79" s="3"/>
    </row>
    <row r="80" spans="5:5">
      <c r="E80" s="3"/>
    </row>
    <row r="81" spans="5:5">
      <c r="E81" s="3"/>
    </row>
    <row r="82" spans="5:5">
      <c r="E82" s="3"/>
    </row>
    <row r="83" spans="5:5">
      <c r="E83" s="3"/>
    </row>
    <row r="84" spans="5:5">
      <c r="E84" s="3"/>
    </row>
    <row r="85" spans="5:5">
      <c r="E85" s="3"/>
    </row>
    <row r="86" spans="5:5">
      <c r="E86" s="3"/>
    </row>
    <row r="87" spans="5:5">
      <c r="E87" s="3"/>
    </row>
    <row r="88" spans="5:5">
      <c r="E88" s="3"/>
    </row>
    <row r="89" spans="5:5">
      <c r="E89" s="3"/>
    </row>
    <row r="90" spans="5:5">
      <c r="E90" s="3"/>
    </row>
    <row r="91" spans="5:5">
      <c r="E91" s="3"/>
    </row>
    <row r="92" spans="5:5">
      <c r="E92" s="3"/>
    </row>
    <row r="93" spans="5:5">
      <c r="E93" s="3"/>
    </row>
    <row r="94" spans="5:5">
      <c r="E94" s="3"/>
    </row>
    <row r="95" spans="5:5">
      <c r="E95" s="3"/>
    </row>
    <row r="96" spans="5:5">
      <c r="E96" s="3"/>
    </row>
    <row r="97" spans="5:5">
      <c r="E97" s="3"/>
    </row>
    <row r="98" spans="5:5">
      <c r="E98" s="3"/>
    </row>
    <row r="99" spans="5:5">
      <c r="E99" s="3"/>
    </row>
    <row r="100" spans="5:5">
      <c r="E100" s="3"/>
    </row>
    <row r="101" spans="5:5">
      <c r="E101" s="3"/>
    </row>
    <row r="102" spans="5:5">
      <c r="E102" s="3"/>
    </row>
    <row r="103" spans="5:5">
      <c r="E103" s="3"/>
    </row>
    <row r="104" spans="5:5">
      <c r="E104" s="3"/>
    </row>
    <row r="105" spans="5:5">
      <c r="E105" s="3"/>
    </row>
    <row r="106" spans="5:5">
      <c r="E106" s="3"/>
    </row>
    <row r="107" spans="5:5">
      <c r="E107" s="3"/>
    </row>
    <row r="108" spans="5:5">
      <c r="E108" s="3"/>
    </row>
    <row r="109" spans="5:5">
      <c r="E109" s="3"/>
    </row>
    <row r="110" spans="5:5">
      <c r="E110" s="3"/>
    </row>
    <row r="111" spans="5:5">
      <c r="E111" s="3"/>
    </row>
    <row r="112" spans="5:5">
      <c r="E112" s="3"/>
    </row>
    <row r="113" spans="5:5">
      <c r="E113" s="3"/>
    </row>
    <row r="114" spans="5:5">
      <c r="E114" s="3"/>
    </row>
    <row r="115" spans="5:5">
      <c r="E115" s="3"/>
    </row>
    <row r="116" spans="5:5">
      <c r="E116" s="3"/>
    </row>
    <row r="117" spans="5:5">
      <c r="E117" s="3"/>
    </row>
    <row r="118" spans="5:5">
      <c r="E118" s="3"/>
    </row>
    <row r="119" spans="5:5">
      <c r="E119" s="3"/>
    </row>
    <row r="120" spans="5:5">
      <c r="E120" s="3"/>
    </row>
    <row r="121" spans="5:5">
      <c r="E121" s="3"/>
    </row>
    <row r="122" spans="5:5">
      <c r="E122" s="3"/>
    </row>
    <row r="123" spans="5:5">
      <c r="E123" s="3"/>
    </row>
    <row r="124" spans="5:5">
      <c r="E124" s="3"/>
    </row>
    <row r="125" spans="5:5">
      <c r="E125" s="3"/>
    </row>
    <row r="126" spans="5:5">
      <c r="E126" s="3"/>
    </row>
    <row r="127" spans="5:5">
      <c r="E127" s="3"/>
    </row>
    <row r="128" spans="5:5">
      <c r="E128" s="3"/>
    </row>
    <row r="129" spans="5:5">
      <c r="E129" s="3"/>
    </row>
    <row r="130" spans="5:5">
      <c r="E130" s="3"/>
    </row>
    <row r="131" spans="5:5">
      <c r="E131" s="3"/>
    </row>
    <row r="132" spans="5:5">
      <c r="E132" s="3"/>
    </row>
    <row r="133" spans="5:5">
      <c r="E133" s="3"/>
    </row>
    <row r="134" spans="5:5">
      <c r="E134" s="3"/>
    </row>
    <row r="135" spans="5:5">
      <c r="E135" s="3"/>
    </row>
    <row r="136" spans="5:5">
      <c r="E136" s="3"/>
    </row>
    <row r="137" spans="5:5">
      <c r="E137" s="3"/>
    </row>
    <row r="138" spans="5:5">
      <c r="E138" s="3"/>
    </row>
    <row r="139" spans="5:5">
      <c r="E139" s="3"/>
    </row>
    <row r="140" spans="5:5">
      <c r="E140" s="3"/>
    </row>
    <row r="141" spans="5:5">
      <c r="E141" s="3"/>
    </row>
    <row r="142" spans="5:5">
      <c r="E142" s="3"/>
    </row>
    <row r="143" spans="5:5">
      <c r="E143" s="3"/>
    </row>
    <row r="144" spans="5:5">
      <c r="E144" s="3"/>
    </row>
    <row r="145" spans="5:5">
      <c r="E145" s="3"/>
    </row>
    <row r="146" spans="5:5">
      <c r="E146" s="3"/>
    </row>
    <row r="147" spans="5:5">
      <c r="E147" s="3"/>
    </row>
    <row r="148" spans="5:5">
      <c r="E148" s="3"/>
    </row>
    <row r="149" spans="5:5">
      <c r="E149" s="3"/>
    </row>
    <row r="150" spans="5:5">
      <c r="E150" s="3"/>
    </row>
    <row r="151" spans="5:5">
      <c r="E151" s="3"/>
    </row>
    <row r="152" spans="5:5">
      <c r="E152" s="3"/>
    </row>
  </sheetData>
  <sheetProtection selectLockedCells="1" selectUnlockedCells="1"/>
  <mergeCells count="16">
    <mergeCell ref="A4:H4"/>
    <mergeCell ref="A2:M2"/>
    <mergeCell ref="A9:E9"/>
    <mergeCell ref="A1:M1"/>
    <mergeCell ref="I3:K3"/>
    <mergeCell ref="L3:M3"/>
    <mergeCell ref="I4:K4"/>
    <mergeCell ref="L4:M4"/>
    <mergeCell ref="I5:K5"/>
    <mergeCell ref="L5:M5"/>
    <mergeCell ref="I6:K6"/>
    <mergeCell ref="L6:M6"/>
    <mergeCell ref="I7:K7"/>
    <mergeCell ref="L7:M7"/>
    <mergeCell ref="I8:K8"/>
    <mergeCell ref="L8:M8"/>
  </mergeCells>
  <pageMargins left="0.52013888888888893" right="0.40972222222222221" top="0.33" bottom="0.44" header="0.3" footer="0.39"/>
  <pageSetup paperSize="9" scale="53" firstPageNumber="0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6</vt:i4>
      </vt:variant>
    </vt:vector>
  </HeadingPairs>
  <TitlesOfParts>
    <vt:vector size="11" baseType="lpstr">
      <vt:lpstr>DADOS</vt:lpstr>
      <vt:lpstr>BDI</vt:lpstr>
      <vt:lpstr>P. O.</vt:lpstr>
      <vt:lpstr>MEMÓRIA DE CÁLCULO</vt:lpstr>
      <vt:lpstr>CRONO. F-F</vt:lpstr>
      <vt:lpstr>BDI!Area_de_impressao</vt:lpstr>
      <vt:lpstr>'CRONO. F-F'!Area_de_impressao</vt:lpstr>
      <vt:lpstr>'MEMÓRIA DE CÁLCULO'!Area_de_impressao</vt:lpstr>
      <vt:lpstr>'P. O.'!Area_de_impressao</vt:lpstr>
      <vt:lpstr>'MEMÓRIA DE CÁLCULO'!Titulos_de_impressao</vt:lpstr>
      <vt:lpstr>'P. O.'!Titulos_de_impressao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Engenharia</dc:creator>
  <cp:lastModifiedBy>User</cp:lastModifiedBy>
  <cp:lastPrinted>2024-07-03T19:23:47Z</cp:lastPrinted>
  <dcterms:created xsi:type="dcterms:W3CDTF">2020-05-28T20:46:40Z</dcterms:created>
  <dcterms:modified xsi:type="dcterms:W3CDTF">2024-09-16T20:19:21Z</dcterms:modified>
</cp:coreProperties>
</file>