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20" yWindow="-120" windowWidth="24240" windowHeight="13740" tabRatio="614" firstSheet="1" activeTab="1"/>
  </bookViews>
  <sheets>
    <sheet name="DADOS" sheetId="15" state="hidden" r:id="rId1"/>
    <sheet name="BDI" sheetId="12" r:id="rId2"/>
    <sheet name="P. O." sheetId="13" r:id="rId3"/>
    <sheet name="CÁLCULO" sheetId="16" r:id="rId4"/>
    <sheet name="CRONO. F-F" sheetId="2" r:id="rId5"/>
  </sheets>
  <definedNames>
    <definedName name="_xlnm._FilterDatabase" localSheetId="1" hidden="1">BDI!$A$7:$C$7</definedName>
    <definedName name="_xlnm._FilterDatabase" localSheetId="3" hidden="1">CÁLCULO!$G$59:$G$62</definedName>
    <definedName name="_xlnm._FilterDatabase" localSheetId="2" hidden="1">'P. O.'!$G$60:$G$63</definedName>
    <definedName name="_xlnm.Print_Area" localSheetId="1">BDI!$A$1:$C$53</definedName>
    <definedName name="_xlnm.Print_Area" localSheetId="3">CÁLCULO!$B$1:$J$65</definedName>
    <definedName name="_xlnm.Print_Area" localSheetId="4">'CRONO. F-F'!$A$1:$M$49</definedName>
    <definedName name="_xlnm.Print_Area" localSheetId="2">'P. O.'!$B$1:$J$66</definedName>
    <definedName name="_xlnm.Print_Titles" localSheetId="3">CÁLCULO!$10:$10</definedName>
    <definedName name="_xlnm.Print_Titles" localSheetId="2">'P. O.'!$10:$10</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2"/>
  <c r="B36"/>
  <c r="B33"/>
  <c r="B30"/>
  <c r="B27"/>
  <c r="B24"/>
  <c r="B21"/>
  <c r="B18"/>
  <c r="H15" i="16"/>
  <c r="H48"/>
  <c r="H17"/>
  <c r="H55"/>
  <c r="H28"/>
  <c r="H24"/>
  <c r="H14"/>
  <c r="H19"/>
  <c r="H30"/>
  <c r="G62" l="1" a="1"/>
  <c r="G62" s="1"/>
  <c r="G61"/>
  <c r="B61" a="1"/>
  <c r="B61" s="1"/>
  <c r="B60" a="1"/>
  <c r="B60" s="1"/>
  <c r="B59" a="1"/>
  <c r="B59" s="1"/>
  <c r="G55"/>
  <c r="G48"/>
  <c r="G53" s="1"/>
  <c r="G30"/>
  <c r="G28"/>
  <c r="G24"/>
  <c r="G25" s="1"/>
  <c r="G26" s="1"/>
  <c r="G27" s="1"/>
  <c r="G21"/>
  <c r="G22" s="1"/>
  <c r="G19"/>
  <c r="G17"/>
  <c r="G14"/>
  <c r="G15" s="1"/>
  <c r="I6" a="1"/>
  <c r="I6" s="1"/>
  <c r="G55" i="13"/>
  <c r="G48"/>
  <c r="G53" s="1"/>
  <c r="G30"/>
  <c r="G28"/>
  <c r="G24"/>
  <c r="G25" s="1"/>
  <c r="G26" s="1"/>
  <c r="G27" s="1"/>
  <c r="G19"/>
  <c r="G17"/>
  <c r="G21" s="1"/>
  <c r="G22" s="1"/>
  <c r="G14"/>
  <c r="G15" s="1"/>
  <c r="G50" i="16" l="1"/>
  <c r="G51"/>
  <c r="G50" i="13"/>
  <c r="G51"/>
  <c r="J47" i="2"/>
  <c r="A51" i="12"/>
  <c r="G62" i="13"/>
  <c r="G63" a="1"/>
  <c r="G63" s="1"/>
  <c r="L4" i="2"/>
  <c r="B15"/>
  <c r="B12"/>
  <c r="C12" i="12"/>
  <c r="AI9" i="15" s="1"/>
  <c r="I8" i="2"/>
  <c r="I5"/>
  <c r="I4"/>
  <c r="A8"/>
  <c r="A6"/>
  <c r="A4"/>
  <c r="C19" i="12"/>
  <c r="C17"/>
  <c r="C22"/>
  <c r="C20"/>
  <c r="I6" i="13" a="1"/>
  <c r="I6" s="1"/>
  <c r="L6" i="2" s="1"/>
  <c r="A34" i="12"/>
  <c r="A26"/>
  <c r="C24"/>
  <c r="C21"/>
  <c r="C18"/>
  <c r="B62" i="13" a="1"/>
  <c r="B62" s="1"/>
  <c r="A48" i="2" s="1"/>
  <c r="B61" i="13" a="1"/>
  <c r="B61" s="1"/>
  <c r="A47" i="2" s="1"/>
  <c r="B60" i="13" a="1"/>
  <c r="B60" s="1"/>
  <c r="A46" i="2" s="1"/>
  <c r="J49" l="1"/>
  <c r="J48"/>
  <c r="A52" i="12"/>
  <c r="A53"/>
  <c r="A43"/>
  <c r="A44"/>
  <c r="A45"/>
  <c r="A37"/>
  <c r="P9" i="15"/>
  <c r="Z9"/>
  <c r="V9"/>
  <c r="T9"/>
  <c r="AD9"/>
  <c r="U9"/>
  <c r="Q9"/>
  <c r="AJ9"/>
  <c r="O9"/>
  <c r="L9"/>
  <c r="AK9"/>
  <c r="K9"/>
  <c r="AE9"/>
  <c r="AA9"/>
  <c r="J9"/>
  <c r="AF9"/>
  <c r="Y9"/>
  <c r="C23" i="12" l="1"/>
  <c r="C26" l="1"/>
  <c r="I8" i="16" s="1"/>
  <c r="M3" s="1"/>
  <c r="I8" i="13" l="1"/>
  <c r="I15" l="1"/>
  <c r="J15" s="1"/>
  <c r="I20"/>
  <c r="J20" s="1"/>
  <c r="I33"/>
  <c r="J33" s="1"/>
  <c r="I38"/>
  <c r="J38" s="1"/>
  <c r="I42"/>
  <c r="J42" s="1"/>
  <c r="I45"/>
  <c r="J45" s="1"/>
  <c r="I22"/>
  <c r="J22" s="1"/>
  <c r="I37"/>
  <c r="J37" s="1"/>
  <c r="I41"/>
  <c r="J41" s="1"/>
  <c r="I44"/>
  <c r="J44" s="1"/>
  <c r="I50"/>
  <c r="J50" s="1"/>
  <c r="I19"/>
  <c r="J19" s="1"/>
  <c r="I40"/>
  <c r="J40" s="1"/>
  <c r="I43"/>
  <c r="J43" s="1"/>
  <c r="I36"/>
  <c r="J36" s="1"/>
  <c r="I18"/>
  <c r="J18" s="1"/>
  <c r="I21"/>
  <c r="J21" s="1"/>
  <c r="I34"/>
  <c r="J34" s="1"/>
  <c r="I39"/>
  <c r="J39" s="1"/>
  <c r="I46"/>
  <c r="J46" s="1"/>
  <c r="I56"/>
  <c r="J56" s="1"/>
  <c r="I48"/>
  <c r="J48" s="1"/>
  <c r="J47" s="1"/>
  <c r="C34" i="2" s="1"/>
  <c r="I51" i="13"/>
  <c r="J51" s="1"/>
  <c r="I24"/>
  <c r="J24" s="1"/>
  <c r="I12"/>
  <c r="J12" s="1"/>
  <c r="I53"/>
  <c r="J53" s="1"/>
  <c r="I27"/>
  <c r="J27" s="1"/>
  <c r="I14"/>
  <c r="J14" s="1"/>
  <c r="J13" s="1"/>
  <c r="I17"/>
  <c r="J17" s="1"/>
  <c r="I30"/>
  <c r="J30" s="1"/>
  <c r="J29" s="1"/>
  <c r="C25" i="2" s="1"/>
  <c r="I55" i="13"/>
  <c r="J55" s="1"/>
  <c r="J54" s="1"/>
  <c r="C40" i="2" s="1"/>
  <c r="I28" i="13"/>
  <c r="J28" s="1"/>
  <c r="I32"/>
  <c r="J32" s="1"/>
  <c r="I26"/>
  <c r="J26" s="1"/>
  <c r="I25"/>
  <c r="J25" s="1"/>
  <c r="I52"/>
  <c r="J52" s="1"/>
  <c r="L8" i="2"/>
  <c r="J31" i="13" l="1"/>
  <c r="C28" i="2" s="1"/>
  <c r="J16" i="13"/>
  <c r="C19" i="2" s="1"/>
  <c r="J35" i="13"/>
  <c r="C31" i="2" s="1"/>
  <c r="J49" i="13"/>
  <c r="C37" i="2" s="1"/>
  <c r="D37" s="1"/>
  <c r="J23" i="13"/>
  <c r="C22" i="2" s="1"/>
  <c r="D19"/>
  <c r="C16"/>
  <c r="D16" s="1"/>
  <c r="J11" i="13"/>
  <c r="C13" i="2" s="1"/>
  <c r="D25"/>
  <c r="D40"/>
  <c r="C44" l="1"/>
  <c r="J58" i="13"/>
  <c r="M3"/>
  <c r="D34" i="2"/>
  <c r="D22"/>
  <c r="D28"/>
  <c r="D13"/>
  <c r="D31"/>
  <c r="E37"/>
  <c r="E44" s="1"/>
  <c r="E40"/>
  <c r="D44" l="1"/>
  <c r="E43"/>
  <c r="C18"/>
  <c r="C15"/>
  <c r="C33"/>
  <c r="C27"/>
  <c r="C12"/>
  <c r="C36"/>
  <c r="C30"/>
  <c r="C24"/>
  <c r="C39"/>
  <c r="C21"/>
  <c r="C43" l="1"/>
  <c r="D4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<sst xmlns="http://schemas.openxmlformats.org/spreadsheetml/2006/main" count="701" uniqueCount="329">
  <si>
    <t>ITEM</t>
  </si>
  <si>
    <t>CÓDIGO</t>
  </si>
  <si>
    <t>DESCRIÇÃO</t>
  </si>
  <si>
    <t>UND</t>
  </si>
  <si>
    <t>QTD.</t>
  </si>
  <si>
    <t>VALOR TOTAL COM BDI (R$)</t>
  </si>
  <si>
    <t>1.1</t>
  </si>
  <si>
    <t>2</t>
  </si>
  <si>
    <t>2.1</t>
  </si>
  <si>
    <t>3</t>
  </si>
  <si>
    <t>3.1</t>
  </si>
  <si>
    <t>3.2</t>
  </si>
  <si>
    <t>4</t>
  </si>
  <si>
    <t>4.1</t>
  </si>
  <si>
    <t>4.2</t>
  </si>
  <si>
    <t>5</t>
  </si>
  <si>
    <t>5.1</t>
  </si>
  <si>
    <t>CRONOGRAMA FÍSICO-FINANCEIRO</t>
  </si>
  <si>
    <t>FÍSICO / FINANCEIRO</t>
  </si>
  <si>
    <t>FÍSICO</t>
  </si>
  <si>
    <t>FINANCEIRO</t>
  </si>
  <si>
    <t>SERVIÇOS PRELIMINARES</t>
  </si>
  <si>
    <t>UNID</t>
  </si>
  <si>
    <t>M2</t>
  </si>
  <si>
    <t>DEMOLIÇÃO</t>
  </si>
  <si>
    <t>M3</t>
  </si>
  <si>
    <t>6</t>
  </si>
  <si>
    <t>ALVENARIA/REVESTIMENTOS</t>
  </si>
  <si>
    <t>6.1</t>
  </si>
  <si>
    <t>6.2</t>
  </si>
  <si>
    <t>7</t>
  </si>
  <si>
    <t>7.1</t>
  </si>
  <si>
    <t>7.2</t>
  </si>
  <si>
    <t>8</t>
  </si>
  <si>
    <t>9</t>
  </si>
  <si>
    <t>INSTALAÇÕES HIDROSSANITÁRIAS</t>
  </si>
  <si>
    <t>8.1</t>
  </si>
  <si>
    <t>9.1</t>
  </si>
  <si>
    <t>9.2</t>
  </si>
  <si>
    <t>9.3</t>
  </si>
  <si>
    <t>9.4</t>
  </si>
  <si>
    <t>10</t>
  </si>
  <si>
    <t>LOUÇAS E METAIS</t>
  </si>
  <si>
    <t>10.1</t>
  </si>
  <si>
    <t>ESQUADRIAS</t>
  </si>
  <si>
    <t>PINTURA</t>
  </si>
  <si>
    <t>SERVIÇOS COMPLEMENTARES</t>
  </si>
  <si>
    <t>10.2</t>
  </si>
  <si>
    <t>ASSENTO PARA VASO PNE (NBR 9050)</t>
  </si>
  <si>
    <t>ALVENARIA DE VEDAÇÃO COM TIJOLO CERÂMICO FURADO, ESP. 9CM, PARA REVESTIMENTO, INCLUSIVE ARGAMASSA PARA ASSENTAMENTO</t>
  </si>
  <si>
    <t>REVESTIMENTO COM CERÂMICA APLICADO EM PISO, ACABAMENTO ESMALTADO, AMBIENTE INTERNO, PADRÃO EXTRA, DIMENSÃO DA PEÇA ATÉ 2025 CM2, PEI V, ASSENTAMENTO COM ARGAMASSA INDUSTRIALIZADA, INCLUSIVE REJUNTAMENTO</t>
  </si>
  <si>
    <t>PINTURA ACRÍLICA EM PAREDE, DUAS (2) DEMÃOS, INCLUSIVE UMA (1) DEMÃO DE MASSA CORRIDA (PVA), EXCLUSIVE SELADOR ACRÍLICO</t>
  </si>
  <si>
    <t>PINTURA ACRÍLICA EM PAREDE, DUAS (2) DEMÃOS, EXCLUSIVE SELADOR ACRÍLICO E MASSA ACRÍLICA/CORRIDA (PVA)</t>
  </si>
  <si>
    <t>PINTURA ESMALTE EM ESQUADRIA DE MADEIRA, DUAS (2) DEMÃOS, INCLUSIVE UMA (1) DEMÃO DE FUNDO NIVELADOR, EXCLUSIVE MASSA A ÓLEO</t>
  </si>
  <si>
    <t>BARRA DE APOIO EM AÇO INOX POLIDO RETA, DN 1.1/4" (31,75MM), PARA ACESSIBILIDADE (PMR/PCR), COMPRIMENTO 80CM, INSTALADO EM PAREDE, INCLUSIVE FORNECIMENTO, INSTALAÇÃO E ACESSÓRIOS PARA FIXAÇÃO</t>
  </si>
  <si>
    <t>LIMPEZA FINAL PARA ENTREGA DA OBRA</t>
  </si>
  <si>
    <t>___________________________________________________________</t>
  </si>
  <si>
    <t>Responsável Técnico</t>
  </si>
  <si>
    <t>Pedro Giovanni Vieira Vidal</t>
  </si>
  <si>
    <t>VALOR TOTAL:</t>
  </si>
  <si>
    <t>CUSTO UNIT. 
SEM BDI (R$)</t>
  </si>
  <si>
    <t>CUSTO UNIT.
COM BDI (R$)</t>
  </si>
  <si>
    <t>_________________________________________________________</t>
  </si>
  <si>
    <t>01</t>
  </si>
  <si>
    <t>ED-48502</t>
  </si>
  <si>
    <t>ED-51125</t>
  </si>
  <si>
    <t>ED-48231</t>
  </si>
  <si>
    <t>ED-50727</t>
  </si>
  <si>
    <t>ED-50732</t>
  </si>
  <si>
    <t>ED-50759</t>
  </si>
  <si>
    <t>ED-50542</t>
  </si>
  <si>
    <t>ED-50221</t>
  </si>
  <si>
    <t>ED-50223</t>
  </si>
  <si>
    <t>ED-50225</t>
  </si>
  <si>
    <t>ED-48157</t>
  </si>
  <si>
    <t>ED-50330</t>
  </si>
  <si>
    <t>ED-50331</t>
  </si>
  <si>
    <t>ED-48160</t>
  </si>
  <si>
    <t>ED-49603</t>
  </si>
  <si>
    <t>ED-50455</t>
  </si>
  <si>
    <t>ED-50451</t>
  </si>
  <si>
    <t>ED-50493</t>
  </si>
  <si>
    <t>ED-50266</t>
  </si>
  <si>
    <t>PONTO DE EMBUTIR PARA ÁGUA FRIA EM TUBO DE PVC RÍGIDO SOLDÁVEL, DN 20MM (1/2"), EMBUTIDO NA ALVENARIA COM DISTÂNCIA DE ATÉ CINCO (5) METROS DA TOMADA DE ÁGUA, INCLUSIVE CONEXÕES E FIXAÇÃO DO TUBO COM ENCHIMENTO DO RASGO NA ALVENARIA/CONCRETO COM ARGAMASSA</t>
  </si>
  <si>
    <t xml:space="preserve">Conforme a legislação tributária municipal, o percentual da base de cálculo para o ISS: </t>
  </si>
  <si>
    <t>Sobre a base de cálculo, a alíquota do ISS (entre 2% e 5%):</t>
  </si>
  <si>
    <t>ITENS</t>
  </si>
  <si>
    <t>SIGLAS</t>
  </si>
  <si>
    <t>% Adotado</t>
  </si>
  <si>
    <t>1° Quartil</t>
  </si>
  <si>
    <t>2° Quartil</t>
  </si>
  <si>
    <t>Administração Central</t>
  </si>
  <si>
    <t>AC</t>
  </si>
  <si>
    <t>Seguro e Garantia</t>
  </si>
  <si>
    <t>SG</t>
  </si>
  <si>
    <t>Risco</t>
  </si>
  <si>
    <t>R</t>
  </si>
  <si>
    <t>Despesas Financeiras</t>
  </si>
  <si>
    <t>DF</t>
  </si>
  <si>
    <t>Lucro</t>
  </si>
  <si>
    <t>L</t>
  </si>
  <si>
    <t>Tributos (impostos COFINS 3%, e PIS 0,65%)</t>
  </si>
  <si>
    <t>CP</t>
  </si>
  <si>
    <t>Tributos (ISS, variável de acordo com o município)</t>
  </si>
  <si>
    <t>ISS</t>
  </si>
  <si>
    <t>Tributos (Contribuição Previdenciária sobre a Receita Bruta - 0% ou 4,5% - Desoneração)</t>
  </si>
  <si>
    <t>CPRB</t>
  </si>
  <si>
    <t>FONTE</t>
  </si>
  <si>
    <t>PLANILHA ORÇAMENTÁRIA</t>
  </si>
  <si>
    <t xml:space="preserve">BDI: </t>
  </si>
  <si>
    <t xml:space="preserve">DATA: </t>
  </si>
  <si>
    <t xml:space="preserve">ISS: </t>
  </si>
  <si>
    <t>REGIME:</t>
  </si>
  <si>
    <t>SOLICITANTE:</t>
  </si>
  <si>
    <t xml:space="preserve">OBRA: </t>
  </si>
  <si>
    <t xml:space="preserve">ENDEREÇO: </t>
  </si>
  <si>
    <t>REFERÊNCIA:</t>
  </si>
  <si>
    <t>PREFEITURA MUNICIPAL DE ANDRELÂNDIA</t>
  </si>
  <si>
    <t>MUNICIPIO</t>
  </si>
  <si>
    <t>ALÉM PARAIBA</t>
  </si>
  <si>
    <t>MIGUEL BELMIRO DE SOUZA JÚNIOR</t>
  </si>
  <si>
    <t>ANDRELÂNDIA</t>
  </si>
  <si>
    <t>PREFEITO MUNICIPAL DE ANDRELÂNDIA</t>
  </si>
  <si>
    <t>FRANCISCO CARLOS RIVELLI</t>
  </si>
  <si>
    <t>ARACITABA</t>
  </si>
  <si>
    <t>PREFEITURA MUNICIPAL DE ARACITABA</t>
  </si>
  <si>
    <t>PREFEITA MUNICIPAL DE ARACITABA</t>
  </si>
  <si>
    <t>TEREZINHA MARCÍLIA DO AMARAL TOLEDO</t>
  </si>
  <si>
    <t>ASTOLFO DUTRA</t>
  </si>
  <si>
    <t>PREFEITURA MUNICIPAL DE ASTOLFO DUTRA</t>
  </si>
  <si>
    <t>PREFEITO MUNICIPAL DE ASTOLFO DUTRA</t>
  </si>
  <si>
    <t>BRUNO RIBEIRO</t>
  </si>
  <si>
    <t>BELMIRO BRAGA</t>
  </si>
  <si>
    <t>PREFEITURA MUNICIPAL DE BELMIRO BRAGA</t>
  </si>
  <si>
    <t>PREFEITO MUNICIPAL DE BELMIRO BRAGA</t>
  </si>
  <si>
    <t>JOSÉ PAULO DE OLIVEIRA FRANCO</t>
  </si>
  <si>
    <t>CATAGUASES</t>
  </si>
  <si>
    <t>PREFEITURA MUNICIPAL DE CATAGUASES</t>
  </si>
  <si>
    <t>PREFEITO MUNICIPAL DE CATAGUASES</t>
  </si>
  <si>
    <t>JOSÉ INÁCIO PEIXOTO PARREIRAS HENRIQUES</t>
  </si>
  <si>
    <t>ERVÁLIA</t>
  </si>
  <si>
    <t>PREFEITURA MUNICIPAL DE ERVÁLIA</t>
  </si>
  <si>
    <t>PREFEITO MUNICIPAL DE ERVÁLIA</t>
  </si>
  <si>
    <t>ELOÍSIO ANTÔNIO DE CASTRO</t>
  </si>
  <si>
    <t>JOSÉ MARIA NOVATO</t>
  </si>
  <si>
    <t>LIMA DUARTE</t>
  </si>
  <si>
    <t>PREFEITURA MUNICIPAL DE LIMA DUARTE</t>
  </si>
  <si>
    <t>PREFEITA MUNICIPAL DE LIMA DUARTE</t>
  </si>
  <si>
    <t>ELENICE PEREIRA DELGADO SANTELLI</t>
  </si>
  <si>
    <t>MATIAS BARBOSA</t>
  </si>
  <si>
    <t>PREFEITURA MUNICIPAL DE MATIAS BARBOSA</t>
  </si>
  <si>
    <t>PREFEITO MUNICIPAL DE MATIAS BARBOSA</t>
  </si>
  <si>
    <t>CARLOS ROBERTO MENDES LOPES</t>
  </si>
  <si>
    <t>OLIVEIRA FORTES</t>
  </si>
  <si>
    <t>PREFEITURA MUNICIPAL DE OLIVEIRA FORTES</t>
  </si>
  <si>
    <t>PREFEITO MUNICIPAL DE OLIVEIRA FORTES</t>
  </si>
  <si>
    <t>ANTÔNIO CARLOS DE OLIVEIRA</t>
  </si>
  <si>
    <t>PIRAPETINGA</t>
  </si>
  <si>
    <t>PREFEITURA MUNICIPAL DE PIRAPETINGA</t>
  </si>
  <si>
    <t>PREFEITO MUNICIPAL DE PIRAPETINGA</t>
  </si>
  <si>
    <t>LUIZ HENRIQUE PEREIRA DA COSTA</t>
  </si>
  <si>
    <t>RODEIRO</t>
  </si>
  <si>
    <t>PREFEITURA MUNICIPAL DE RODEIRO</t>
  </si>
  <si>
    <t>PREFEITO MUNICIPAL DE RODEIRO</t>
  </si>
  <si>
    <t>JOSÉ CARLOS FERREIRA</t>
  </si>
  <si>
    <t>SANTA BARBARA DO MONTE VERDE</t>
  </si>
  <si>
    <t>FÁBIO NOGUEIRA MACHADO</t>
  </si>
  <si>
    <t>SANTA RITA DE JACUTINGA</t>
  </si>
  <si>
    <t>PREFEITURA MUNICIPAL DE SANTA RITA DE JACUTINGA</t>
  </si>
  <si>
    <t>PREFEITO MUNICIPAL DE SANTA RITA DE JACUTINGA</t>
  </si>
  <si>
    <t>ALEXSANDRO LANDIM NOGUEIRA</t>
  </si>
  <si>
    <t>SANTOS DUMONT</t>
  </si>
  <si>
    <t>PREFEITURA MUNICIPAL DE SANTOS DUMONT</t>
  </si>
  <si>
    <t>PREFEITO MUNICIPAL DE SANTOS DUMONT</t>
  </si>
  <si>
    <t>CARLOS ALBERTO DE AZEVEDO</t>
  </si>
  <si>
    <t>VALENÇA</t>
  </si>
  <si>
    <t>PREFEITURA MUNICIPAL DE VALENÇA</t>
  </si>
  <si>
    <t>PREFEITO MUNICIPAL DE VALENÇA</t>
  </si>
  <si>
    <t>LUIZ FERNANDO FURTADO DA GRAÇA</t>
  </si>
  <si>
    <t>PREFEITURA</t>
  </si>
  <si>
    <t>PREFEITO (CARGO)</t>
  </si>
  <si>
    <t>NOME PREFEITO</t>
  </si>
  <si>
    <t>CONSTRUÇÃO DE EDIFÍCIOS</t>
  </si>
  <si>
    <t xml:space="preserve">CONSTRUÇÃO DE RODOVIAS E FERROVIAS </t>
  </si>
  <si>
    <t xml:space="preserve">CONSTRUÇÃO DE MANUNTEÇÃO DE ESTAÇÕES E REDES DE DISTRIBUIÇÃO DE ENERGIA ELÉTRICA </t>
  </si>
  <si>
    <t>OBRAS PORTUÁRIAS, MARÍTIMAS
E FLUVIAIS</t>
  </si>
  <si>
    <t xml:space="preserve">CONSTRUÇÃO DE REDES DE ABASTECIMENTO DE ÁGUA, COLETA DE ESGOTO E CONSTRUÇÕES CORRELATAS </t>
  </si>
  <si>
    <t>FORNECIMENTO DE MATERIAIS E EQUIPAMENTOS</t>
  </si>
  <si>
    <t>TIPO DE OBRA:</t>
  </si>
  <si>
    <t>NÃO DESONERADO</t>
  </si>
  <si>
    <t>DESONERADO</t>
  </si>
  <si>
    <t>Local</t>
  </si>
  <si>
    <t>NOME DO MUNICÍPIO PARA BDI</t>
  </si>
  <si>
    <t>Além Paraíba - MG</t>
  </si>
  <si>
    <t>Andrelândia - MG</t>
  </si>
  <si>
    <t>Aracitaba - MG</t>
  </si>
  <si>
    <t>Cataguases - MG</t>
  </si>
  <si>
    <t>Ervália - MG</t>
  </si>
  <si>
    <t>Pirapetinga - MG</t>
  </si>
  <si>
    <t>Rodeiro - MG</t>
  </si>
  <si>
    <t>Astolfo Dutra - MG</t>
  </si>
  <si>
    <t>Belmiro Braga - MG</t>
  </si>
  <si>
    <t>Ewbank da Câmara - MG</t>
  </si>
  <si>
    <t>Lima Duarte - MG</t>
  </si>
  <si>
    <t>Matias Barbosa - MG</t>
  </si>
  <si>
    <t>Oliveira Fortes - MG</t>
  </si>
  <si>
    <t>Santa Bárbara do Monte Verde - MG</t>
  </si>
  <si>
    <t>Santa Rita de Jacutinga - MG</t>
  </si>
  <si>
    <t>Santos Dumont - MG</t>
  </si>
  <si>
    <t>Valença - RJ</t>
  </si>
  <si>
    <t>Data</t>
  </si>
  <si>
    <t>OBSERVAÇÕES</t>
  </si>
  <si>
    <t>VALOR DA OBRA SEM BDI</t>
  </si>
  <si>
    <t>SERVIÇO</t>
  </si>
  <si>
    <t>NÍVEL 1</t>
  </si>
  <si>
    <t>NÍVEL 2</t>
  </si>
  <si>
    <t>NÍVEL 3</t>
  </si>
  <si>
    <t>ADOTADO</t>
  </si>
  <si>
    <t>ED-28427</t>
  </si>
  <si>
    <t>FORNECIMENTO E COLOCAÇÃO DE PLACA DE OBRA EM CHAPA GALVANIZADA #26, ESP. 0,45MM, DIMENSÃO (3X1,5)M, PLOTADA COM ADESIVO VINÍLICO, AFIXADA COM REBITES 4,8X40MM, EM ESTRUTURA METÁLICA DE METALON 20X20MM, ESP. 1,25MM, INCLUSIVE SUPORTE EM EUCALIPTO AUTOCLAVADO PINTADO COM TINTA PVA DUAS (2) DEMÃOS</t>
  </si>
  <si>
    <t>90777</t>
  </si>
  <si>
    <t>ENGENHEIRO CIVIL DE OBRA JUNIOR COM ENCARGOS COMPLEMENTARES</t>
  </si>
  <si>
    <t>H</t>
  </si>
  <si>
    <t>SINAPI</t>
  </si>
  <si>
    <t>ED-51131</t>
  </si>
  <si>
    <t>CARGA MANUAL DE MATERIAL DE QUALQUER NATUREZA SOBRE CAMINHÃO, EXCLUSIVE TRANSPORTE</t>
  </si>
  <si>
    <t>TRANSPORTE DE MATERIAL DEMOLIDO EM CAÇAMBA, EXCLUSIVE CARGA MANUAL OU MECÂNICA</t>
  </si>
  <si>
    <t>DEMOLIÇÃO MANUAL DE REVESTIMENTO CERÂMICO, AZULEJO OU LADRILHO HIDRÁULICO, INCLUSIVE AFASTAMENTO E EMPILHAMENTO, EXCLUSIVE DEMOLIÇÃO DO REBOCO OU EMBOÇO, TRANSPORTE E RETIRADA DO MATERIAL DEMOLIDO</t>
  </si>
  <si>
    <t>4.3</t>
  </si>
  <si>
    <t>CHAPISCO COM ARGAMASSA, TRAÇO 1:3 (CIMENTO E AREIA), ESP. 5MM, APLICADO EM ALVENARIA/ESTRUTURA DE CONCRETO COM COLHER, INCLUSIVE ARGAMASSA COM PREPARO MECANIZADO</t>
  </si>
  <si>
    <t>EMBOÇO COM ARGAMASSA, TRAÇO 1:6 (CIMENTO E AREIA), ESP. 20MM, APLICAÇÃO MANUAL, INCLUSIVE ARGAMASSA COM PREPARO MECANIZADO, EXCLUSIVE CHAPISCO</t>
  </si>
  <si>
    <t>REBOCO COM ARGAMASSA, TRAÇO 1:7 (CIMENTO E AREIA), ESP. 20MM, APLICAÇÃO MANUAL, INCLUSIVE ARGAMASSA COM PREPARO MECANIZADO, EXCLUSIVE CHAPISCO</t>
  </si>
  <si>
    <t>7.3</t>
  </si>
  <si>
    <t>TORNEIRA METÁLICA PARA LAVATÓRIO, ABERTURA 1/4 DE VOLTA, ACABAMENTO CROMADO, COM AREJADOR, APLICAÇÃO DE MESA, INCLUSIVE ENGATE FLEXÍVEL METÁLICO, FORNECIMENTO E INSTALAÇÃO</t>
  </si>
  <si>
    <t>TORNEIRA METÁLICA PARA TANQUE, ACABAMENTO CROMADO, BICO COM ROSCA, INCLUSIVE FORNECIMENTO E INSTALAÇÃO</t>
  </si>
  <si>
    <t>PORTA DE MADEIRA COMPLETA, DIMENSÃO (90X210)CM, TIPO DE ABRIR, UMA (1) FOLHA, ACABAMENTO NATURAL PARA PINTURA/VERNIZ, TIPO PRANCHETA/SARRAFEADA, INCLUSIVE MARCO, ALIZAR E FERRAGENS, EXCLUSIVE PINTURA/VERNIZ</t>
  </si>
  <si>
    <t>BOM JARDIM DE MINAS</t>
  </si>
  <si>
    <t>PREFEITURA MUNICIPAL DE BOM JARDIM DE MINAS</t>
  </si>
  <si>
    <t>PREFEITO MUNICIPAL DE BOM JARDIM DE MINAS</t>
  </si>
  <si>
    <t>JOSÉ FRANCISCO MATOS E SILVA</t>
  </si>
  <si>
    <t>Bom Jardim de Minas - MG</t>
  </si>
  <si>
    <t xml:space="preserve">REFERÊNCIA: </t>
  </si>
  <si>
    <t>____________________________________________</t>
  </si>
  <si>
    <t>LISTA DE ENGENHEIROS</t>
  </si>
  <si>
    <t>CREA</t>
  </si>
  <si>
    <t>CREA-MG 351.037/D</t>
  </si>
  <si>
    <t>CREA-MG 216.289/D</t>
  </si>
  <si>
    <t>CREA-MG 59.552/D</t>
  </si>
  <si>
    <t>Reinaldo Brum de Souza</t>
  </si>
  <si>
    <t>Leonardo Gielo Rocha</t>
  </si>
  <si>
    <t>CREA/MG 284.850/D</t>
  </si>
  <si>
    <t>Naíra Gaudereto Laurindo</t>
  </si>
  <si>
    <t>CREA-MG 343.982/D</t>
  </si>
  <si>
    <t>Denealber Leite Oliveira</t>
  </si>
  <si>
    <t>EWBANK DA CÂMARA</t>
  </si>
  <si>
    <t>PREFEITURA MUNICIPAL DE EWBANK DA CÂMARA</t>
  </si>
  <si>
    <t>PREFEITO MUNICIPAL DE EWBANK DA CÂMARA</t>
  </si>
  <si>
    <t>4.4</t>
  </si>
  <si>
    <t>4.5</t>
  </si>
  <si>
    <t>PREFEITURA MUNICIPAL DE ALÉM PARAÍBA</t>
  </si>
  <si>
    <t>PREFEITO MUNICIPAL DE ALÉM PARAÍBA</t>
  </si>
  <si>
    <t>PREFEITURA MUNICIPAL DE SANTA BÁRBARA DO MONTE VERDE</t>
  </si>
  <si>
    <t>PREFEITO MUNICIPAL DE SANTA BÁRBARA DO MONTE VERDE</t>
  </si>
  <si>
    <t>TABULEIRO</t>
  </si>
  <si>
    <t>PREFEITURA MUNICIPAL DE TABULEIRO</t>
  </si>
  <si>
    <t>PREFEITO MUNICIPAL DE TABULEIRO</t>
  </si>
  <si>
    <t>Tabuleiro - MG</t>
  </si>
  <si>
    <t>AILTON FERRAZ</t>
  </si>
  <si>
    <t>REFORMA E.M. JOAQUIM CHAVES</t>
  </si>
  <si>
    <t>RUA OVÍDIO RUFINO FERREIRA - ANTONIO AFONSO</t>
  </si>
  <si>
    <t>SINAPI MG - MARÇO/2024</t>
  </si>
  <si>
    <t>SICOR LESTE - JANEIRO/2024</t>
  </si>
  <si>
    <t>SICOR</t>
  </si>
  <si>
    <t>ADMINISTRAÇÃO DE OBRA</t>
  </si>
  <si>
    <t>90776</t>
  </si>
  <si>
    <t>ENCARREGADO GERAL COM ENCARGOS COMPLEMENTARES</t>
  </si>
  <si>
    <t>ED-48436</t>
  </si>
  <si>
    <t>DEMOLIÇÃO MANUAL DE ALVENARIA DE TIJOLO CERÂMICO MACIÇO, INCLUSIVE AFASTAMENTO E EMPILHAMENTO, EXCLUSIVE TRANSPORTE E RETIRADA DO MATERIAL DEMOLIDO</t>
  </si>
  <si>
    <t>ED-48467</t>
  </si>
  <si>
    <t>REMOÇÃO DE LOUÇAS (LAVATÓRIO, BANHEIRA, PIA, VASO SANITÁRIO, TANQUE), COM REAPROVEITAMENTO, INCLUSIVE AFASTAMENTO E EMPILHAMENTO, EXCLUSIVE TRANSPORTE E RETIRADA DO MATERIAL REMOVIDO NÃO REAPROVEITÁVEL</t>
  </si>
  <si>
    <t>ED-48493</t>
  </si>
  <si>
    <t>REMOÇÃO MANUAL DE ESQUADRIA EM MADEIRA, COM REAPROVEITAMENTO, INCLUSIVE REMOÇÃO DE MARCO/ALIZAR/GUARNIÇÕES, AFASTAMENTO E EMPILHAMENTO, EXCLUSIVE TRANSPORTE E RETIRADA DO MATERIAL REMOVIDO NÃO REAPROVEITÁVEL</t>
  </si>
  <si>
    <t>ED-50716</t>
  </si>
  <si>
    <t>REVESTIMENTO COM AZULEJO BRANCO (15X15CM), JUNTA A PRUMO, ASSENTAMENTO COM ARGAMASSA INDUSTRIALIZADA, INCLUSIVE REJUNTAMENTO</t>
  </si>
  <si>
    <t>PISOS/RODAPÉS</t>
  </si>
  <si>
    <t>ED-2552</t>
  </si>
  <si>
    <t>LAVATÓRIO DE CANTO DE LOUÇA BRANCA SEM COLUNA, TAMANHO PEQUENO, INCLUSIVE ACESSÓRIOS DE FIXAÇÃO COM PARAFUSO CASTELO, VÁLVULA DE ESCOAMENTO DE METAL COM ACABAMENTO CROMADO, SIFÃO DE METAL TIPO COPO COM ACABAMENTO CROMADO, FORNECIMENTO, INSTALAÇÃO E REJUNTAMENTO, EXCLUSIVE TORNEIRA E ENGATE FLEXÍVEL</t>
  </si>
  <si>
    <t>95472</t>
  </si>
  <si>
    <t>VASO SANITARIO SIFONADO CONVENCIONAL PARA PCD SEM FURO FRONTAL COM LOUÇA BRANCA SEM ASSENTO, INCLUSO CONJUNTO DE LIGAÇÃO PARA BACIA SANITÁRIA AJUSTÁVEL - FORNECIMENTO E INSTALAÇÃO. AF_01/2020</t>
  </si>
  <si>
    <t>99635</t>
  </si>
  <si>
    <t>VÁLVULA DE DESCARGA METÁLICA, BASE 1 1/2", ACABAMENTO METALICO CROMADO - FORNECIMENTO E INSTALAÇÃO. AF_08/2021</t>
  </si>
  <si>
    <t>ED-48163</t>
  </si>
  <si>
    <t>BARRA DE APOIO EM AÇO INOX POLIDO RETA, DN 1.1/4" (31,75MM), PARA ACESSIBILIDADE (PMR/PCR), COMPRIMENTO 40CM, INSTALADO EM PORTA/PAREDE, INCLUSIVE FORNECIMENTO, INSTALAÇÃO E ACESSÓRIOS PARA FIXAÇÃO</t>
  </si>
  <si>
    <t>ED-48164</t>
  </si>
  <si>
    <t>BARRA DE APOIO EM AÇO INOX POLIDO RETA, DN 1.1/4" (31,75MM), PARA ACESSIBILIDADE (PMR/PCR), COMPRIMENTO 70CM, INSTALADO EM PAREDE, INCLUSIVE FORNECIMENTO, INSTALAÇÃO E ACESSÓRIOS PARA FIXAÇÃO</t>
  </si>
  <si>
    <t>100874</t>
  </si>
  <si>
    <t>PUXADOR PARA PCD, FIXADO NA PORTA - FORNECIMENTO E INSTALAÇÃO. AF_01/2020</t>
  </si>
  <si>
    <t>ED-50294</t>
  </si>
  <si>
    <t>TANQUE DE POLIPROPILENO, CAPACIDADE 24 LITROS, INCLUSIVE ACESSÓRIOS DE FIXAÇÃO, VÁLVULA DE ESCOAMENTO DE PLÁSTICO (PVC) NA COR BRANCA, SIFÃO DE PLÁSTICO (PVC) TIPO COPO NA COR BRANCA, FORNECIMENTO E INSTALAÇÃO, EXCLUSIVE TORNEIRA</t>
  </si>
  <si>
    <t>ED-50505</t>
  </si>
  <si>
    <t>LIXAMENTO MANUAL EM PAREDE PARA REMOÇÃO DE TINTA</t>
  </si>
  <si>
    <t>MERCADO</t>
  </si>
  <si>
    <t xml:space="preserve">REPARO DE TRINCAS ESTRUTURAIS </t>
  </si>
  <si>
    <t>2.2</t>
  </si>
  <si>
    <t>3.3</t>
  </si>
  <si>
    <t>3.4</t>
  </si>
  <si>
    <t>3.5</t>
  </si>
  <si>
    <t>3.6</t>
  </si>
  <si>
    <t>6.3</t>
  </si>
  <si>
    <t>7.4</t>
  </si>
  <si>
    <t>7.5</t>
  </si>
  <si>
    <t>7.6</t>
  </si>
  <si>
    <t>7.7</t>
  </si>
  <si>
    <t>7.8</t>
  </si>
  <si>
    <t>7.9</t>
  </si>
  <si>
    <t>7.10</t>
  </si>
  <si>
    <t>7.11</t>
  </si>
  <si>
    <t>118,01</t>
  </si>
  <si>
    <t>49,67</t>
  </si>
  <si>
    <t>821,04</t>
  </si>
  <si>
    <t>346,46</t>
  </si>
  <si>
    <t>353,02</t>
  </si>
  <si>
    <t>PONTO DE EMBUTIR PARA ESGOTO EM TUBO PVC RÍGIDO, PB - SÉRIE NORMAL, DN 40MM (1.1/2"), EMBUTIDO NA ALVENARIA/PISO, COM ALTURA (SAÍDA) DE 50CM DO PISO, COM DISTÂNCIA DE ATÉ CINCO (5) METROS DO RAMAL DE ESGOTO, EXCLUSIVE ESCAVAÇÃO, INCLUSIVE CONEXÕES E FIXAÇÃO DO TUBO COM ENCHIMENTO DO RASGO NA ALVENARIA/CONCRETO COM ARGAMASSA</t>
  </si>
  <si>
    <t>PONTO DE EMBUTIR PARA ESGOTO EM TUBO PVC RÍGIDO, PBV - SÉRIE NORMAL, DN 100MM (4"), EMBUTIDO EM PISO COM DISTÂNCIA DE ATÉ CINCO (5) METROS DO RAMAL DE ESGOTO, INCLUSIVE CONEXÕES E FIXAÇÃO DO TUBO COM ENCHIMENTO DO RASGO NO CONCRETO COM ARGAMASSA</t>
  </si>
  <si>
    <t>2*4,20</t>
  </si>
  <si>
    <t>896,28+8,40-1,88</t>
  </si>
  <si>
    <t>506,33+8,40-1,88</t>
  </si>
  <si>
    <t>2*11*0,9*2,1</t>
  </si>
  <si>
    <t>0,81+16,24*0,05+10*0,1</t>
  </si>
</sst>
</file>

<file path=xl/styles.xml><?xml version="1.0" encoding="utf-8"?>
<styleSheet xmlns="http://schemas.openxmlformats.org/spreadsheetml/2006/main">
  <numFmts count="5">
    <numFmt numFmtId="164" formatCode="_-&quot;R$ &quot;* #,##0.00_-;&quot;-R$ &quot;* #,##0.00_-;_-&quot;R$ &quot;* \-??_-;_-@_-"/>
    <numFmt numFmtId="165" formatCode="_-* #,##0.00_-;\-* #,##0.00_-;_-* \-??_-;_-@_-"/>
    <numFmt numFmtId="166" formatCode="_(\$* #,##0.00_);_(\$* \(#,##0.00\);_(\$* \-??_);_(@_)"/>
    <numFmt numFmtId="167" formatCode="&quot;R$&quot;\ #,##0.00"/>
    <numFmt numFmtId="168" formatCode="[$-F800]dddd\,\ mmmm\ dd\,\ yyyy"/>
  </numFmts>
  <fonts count="47">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indexed="8"/>
      <name val="Arial"/>
      <family val="2"/>
    </font>
    <font>
      <sz val="8"/>
      <color indexed="8"/>
      <name val="Arial"/>
      <family val="2"/>
    </font>
    <font>
      <sz val="10"/>
      <color indexed="8"/>
      <name val="Calibri"/>
      <family val="2"/>
    </font>
    <font>
      <sz val="10"/>
      <color indexed="8"/>
      <name val="Arial"/>
      <family val="2"/>
    </font>
    <font>
      <sz val="11"/>
      <color indexed="8"/>
      <name val="Calibri"/>
      <family val="2"/>
    </font>
    <font>
      <b/>
      <sz val="10"/>
      <name val="Arial"/>
      <family val="2"/>
    </font>
    <font>
      <b/>
      <sz val="11"/>
      <color theme="1"/>
      <name val="Calibri"/>
      <family val="2"/>
      <scheme val="minor"/>
    </font>
    <font>
      <sz val="11"/>
      <color indexed="8"/>
      <name val="Calibri"/>
      <family val="2"/>
      <scheme val="minor"/>
    </font>
    <font>
      <b/>
      <sz val="11"/>
      <name val="Calibri"/>
      <family val="2"/>
      <scheme val="minor"/>
    </font>
    <font>
      <b/>
      <sz val="11"/>
      <color indexed="8"/>
      <name val="Calibri"/>
      <family val="2"/>
      <scheme val="minor"/>
    </font>
    <font>
      <b/>
      <sz val="14"/>
      <name val="Calibri"/>
      <family val="2"/>
      <scheme val="minor"/>
    </font>
    <font>
      <sz val="11"/>
      <name val="Calibri"/>
      <family val="2"/>
      <scheme val="minor"/>
    </font>
    <font>
      <b/>
      <sz val="12"/>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11"/>
      <color rgb="FF000000"/>
      <name val="Calibri"/>
      <family val="2"/>
      <scheme val="minor"/>
    </font>
    <font>
      <sz val="11"/>
      <color rgb="FF000000"/>
      <name val="Calibri"/>
      <family val="2"/>
      <scheme val="minor"/>
    </font>
    <font>
      <sz val="12"/>
      <color rgb="FFFF0000"/>
      <name val="Calibri"/>
      <family val="2"/>
      <scheme val="minor"/>
    </font>
    <font>
      <b/>
      <sz val="14"/>
      <color theme="1"/>
      <name val="Calibri"/>
      <family val="2"/>
      <scheme val="minor"/>
    </font>
    <font>
      <b/>
      <sz val="20"/>
      <color theme="1"/>
      <name val="Calibri"/>
      <family val="2"/>
      <scheme val="minor"/>
    </font>
    <font>
      <b/>
      <sz val="14"/>
      <color rgb="FF000000"/>
      <name val="Calibri"/>
      <family val="2"/>
      <scheme val="minor"/>
    </font>
    <font>
      <sz val="10.5"/>
      <color indexed="8"/>
      <name val="Calibri"/>
      <family val="2"/>
      <scheme val="minor"/>
    </font>
    <font>
      <sz val="8"/>
      <name val="Calibri"/>
      <family val="2"/>
    </font>
    <font>
      <sz val="11"/>
      <color rgb="FFFF0000"/>
      <name val="Calibri"/>
      <family val="2"/>
    </font>
    <font>
      <sz val="10.5"/>
      <name val="Calibri"/>
      <family val="2"/>
      <scheme val="minor"/>
    </font>
  </fonts>
  <fills count="32">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4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FFFFCC"/>
      </patternFill>
    </fill>
    <fill>
      <patternFill patternType="solid">
        <fgColor theme="0" tint="-0.249977111117893"/>
        <bgColor indexed="22"/>
      </patternFill>
    </fill>
    <fill>
      <patternFill patternType="solid">
        <fgColor theme="0" tint="-0.249977111117893"/>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9" tint="-0.499984740745262"/>
        <bgColor indexed="64"/>
      </patternFill>
    </fill>
  </fills>
  <borders count="6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8"/>
      </left>
      <right/>
      <top style="thin">
        <color indexed="64"/>
      </top>
      <bottom style="thin">
        <color indexed="8"/>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s>
  <cellStyleXfs count="49">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 fillId="4" borderId="0" applyNumberFormat="0" applyBorder="0" applyAlignment="0" applyProtection="0"/>
    <xf numFmtId="0" fontId="3" fillId="16" borderId="1" applyNumberFormat="0" applyAlignment="0" applyProtection="0"/>
    <xf numFmtId="0" fontId="4" fillId="17" borderId="2" applyNumberFormat="0" applyAlignment="0" applyProtection="0"/>
    <xf numFmtId="0" fontId="5" fillId="0" borderId="3" applyNumberFormat="0" applyFill="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6" fillId="7" borderId="1" applyNumberFormat="0" applyAlignment="0" applyProtection="0"/>
    <xf numFmtId="0" fontId="7" fillId="3" borderId="0" applyNumberFormat="0" applyBorder="0" applyAlignment="0" applyProtection="0"/>
    <xf numFmtId="164" fontId="22" fillId="0" borderId="0" applyFill="0" applyBorder="0" applyAlignment="0" applyProtection="0"/>
    <xf numFmtId="0" fontId="8" fillId="22" borderId="0" applyNumberFormat="0" applyBorder="0" applyAlignment="0" applyProtection="0"/>
    <xf numFmtId="0" fontId="9" fillId="0" borderId="0"/>
    <xf numFmtId="0" fontId="22" fillId="23" borderId="4" applyNumberFormat="0" applyAlignment="0" applyProtection="0"/>
    <xf numFmtId="9" fontId="22" fillId="0" borderId="0" applyFill="0" applyBorder="0" applyAlignment="0" applyProtection="0"/>
    <xf numFmtId="9" fontId="22" fillId="0" borderId="0" applyFill="0" applyBorder="0" applyAlignment="0" applyProtection="0"/>
    <xf numFmtId="0" fontId="10" fillId="16" borderId="5" applyNumberFormat="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3" fillId="0" borderId="9" applyNumberFormat="0" applyFill="0" applyAlignment="0" applyProtection="0"/>
    <xf numFmtId="165" fontId="22" fillId="0" borderId="0" applyFill="0" applyBorder="0" applyAlignment="0" applyProtection="0"/>
    <xf numFmtId="165" fontId="22" fillId="0" borderId="0" applyFill="0" applyBorder="0" applyAlignment="0" applyProtection="0"/>
    <xf numFmtId="166" fontId="22" fillId="0" borderId="0" applyFill="0" applyBorder="0" applyAlignment="0" applyProtection="0"/>
  </cellStyleXfs>
  <cellXfs count="217">
    <xf numFmtId="0" fontId="0" fillId="0" borderId="0" xfId="0"/>
    <xf numFmtId="0" fontId="9" fillId="0" borderId="0" xfId="33"/>
    <xf numFmtId="0" fontId="21" fillId="0" borderId="0" xfId="33" applyFont="1"/>
    <xf numFmtId="0" fontId="0" fillId="0" borderId="0" xfId="0" applyAlignment="1">
      <alignment horizontal="center"/>
    </xf>
    <xf numFmtId="0" fontId="25" fillId="0" borderId="0" xfId="33" applyFont="1"/>
    <xf numFmtId="0" fontId="25" fillId="0" borderId="0" xfId="0" applyFont="1"/>
    <xf numFmtId="0" fontId="23" fillId="0" borderId="0" xfId="33" applyFont="1"/>
    <xf numFmtId="0" fontId="13" fillId="0" borderId="0" xfId="0" applyFont="1"/>
    <xf numFmtId="0" fontId="0" fillId="0" borderId="10" xfId="33" applyFont="1" applyBorder="1" applyAlignment="1">
      <alignment horizontal="center" vertical="center" wrapText="1"/>
    </xf>
    <xf numFmtId="0" fontId="25" fillId="0" borderId="13" xfId="0" applyFont="1" applyBorder="1" applyAlignment="1">
      <alignment horizontal="center" vertical="center"/>
    </xf>
    <xf numFmtId="165" fontId="25" fillId="0" borderId="15" xfId="0" applyNumberFormat="1" applyFont="1" applyBorder="1" applyAlignment="1">
      <alignment horizontal="center" vertical="center"/>
    </xf>
    <xf numFmtId="49" fontId="25" fillId="0" borderId="13" xfId="0" applyNumberFormat="1" applyFont="1" applyBorder="1" applyAlignment="1">
      <alignment horizontal="center" vertical="center"/>
    </xf>
    <xf numFmtId="165" fontId="25" fillId="0" borderId="16" xfId="0" applyNumberFormat="1" applyFont="1" applyBorder="1" applyAlignment="1">
      <alignment horizontal="center" vertical="center"/>
    </xf>
    <xf numFmtId="0" fontId="25" fillId="0" borderId="13" xfId="33" applyFont="1" applyBorder="1" applyAlignment="1">
      <alignment horizontal="center" vertical="center" wrapText="1"/>
    </xf>
    <xf numFmtId="165" fontId="25" fillId="0" borderId="12" xfId="0" applyNumberFormat="1" applyFont="1" applyBorder="1" applyAlignment="1">
      <alignment horizontal="center" vertical="center"/>
    </xf>
    <xf numFmtId="0" fontId="25" fillId="0" borderId="12" xfId="0" applyFont="1" applyBorder="1" applyAlignment="1">
      <alignment horizontal="center" vertical="center"/>
    </xf>
    <xf numFmtId="0" fontId="25" fillId="0" borderId="15" xfId="0" applyFont="1" applyBorder="1" applyAlignment="1">
      <alignment horizontal="center" vertical="center"/>
    </xf>
    <xf numFmtId="0" fontId="27" fillId="0" borderId="0" xfId="0" applyFont="1" applyAlignment="1">
      <alignment vertical="center"/>
    </xf>
    <xf numFmtId="0" fontId="27" fillId="0" borderId="13" xfId="0" applyFont="1" applyBorder="1" applyAlignment="1">
      <alignment vertical="center"/>
    </xf>
    <xf numFmtId="0" fontId="27" fillId="0" borderId="13" xfId="0" applyFont="1" applyBorder="1" applyAlignment="1">
      <alignment horizontal="right" vertical="center"/>
    </xf>
    <xf numFmtId="0" fontId="18" fillId="0" borderId="0" xfId="0" applyFont="1" applyAlignment="1">
      <alignment vertical="center" readingOrder="1"/>
    </xf>
    <xf numFmtId="0" fontId="19" fillId="0" borderId="0" xfId="0" applyFont="1" applyAlignment="1">
      <alignment vertical="center" readingOrder="1"/>
    </xf>
    <xf numFmtId="0" fontId="27" fillId="0" borderId="10" xfId="0" applyFont="1" applyBorder="1" applyAlignment="1">
      <alignment vertical="center"/>
    </xf>
    <xf numFmtId="0" fontId="27" fillId="0" borderId="10" xfId="0" applyFont="1" applyBorder="1" applyAlignment="1">
      <alignment horizontal="right" vertical="center"/>
    </xf>
    <xf numFmtId="0" fontId="23" fillId="0" borderId="0" xfId="33" applyFont="1" applyAlignment="1">
      <alignment horizontal="left"/>
    </xf>
    <xf numFmtId="10" fontId="25" fillId="0" borderId="13" xfId="0" applyNumberFormat="1" applyFont="1" applyBorder="1" applyAlignment="1">
      <alignment horizontal="center" vertical="center" wrapText="1"/>
    </xf>
    <xf numFmtId="10" fontId="25" fillId="0" borderId="13" xfId="0" applyNumberFormat="1" applyFont="1" applyBorder="1" applyAlignment="1">
      <alignment horizontal="center" vertical="center"/>
    </xf>
    <xf numFmtId="9" fontId="25" fillId="0" borderId="14" xfId="35" applyFont="1" applyFill="1" applyBorder="1" applyAlignment="1" applyProtection="1">
      <alignment horizontal="center" vertical="center"/>
    </xf>
    <xf numFmtId="0" fontId="25" fillId="0" borderId="10" xfId="0" applyFont="1" applyBorder="1" applyAlignment="1">
      <alignment horizontal="center"/>
    </xf>
    <xf numFmtId="0" fontId="25" fillId="0" borderId="10" xfId="0" applyFont="1" applyBorder="1" applyAlignment="1">
      <alignment horizontal="center" vertical="center" readingOrder="1"/>
    </xf>
    <xf numFmtId="164" fontId="25" fillId="0" borderId="13" xfId="0" applyNumberFormat="1" applyFont="1" applyBorder="1" applyAlignment="1">
      <alignment horizontal="center" vertical="center"/>
    </xf>
    <xf numFmtId="0" fontId="25" fillId="0" borderId="14" xfId="0" applyFont="1" applyBorder="1" applyAlignment="1">
      <alignment horizontal="center" vertical="center"/>
    </xf>
    <xf numFmtId="164" fontId="25" fillId="0" borderId="14" xfId="0" applyNumberFormat="1" applyFont="1" applyBorder="1" applyAlignment="1">
      <alignment horizontal="center" vertical="center"/>
    </xf>
    <xf numFmtId="4" fontId="25" fillId="0" borderId="13" xfId="0" applyNumberFormat="1" applyFont="1" applyBorder="1" applyAlignment="1">
      <alignment horizontal="center" vertical="center"/>
    </xf>
    <xf numFmtId="4" fontId="25" fillId="0" borderId="13" xfId="46" applyNumberFormat="1" applyFont="1" applyFill="1" applyBorder="1" applyAlignment="1" applyProtection="1">
      <alignment horizontal="center" vertical="center"/>
    </xf>
    <xf numFmtId="10" fontId="27" fillId="0" borderId="13" xfId="0" applyNumberFormat="1" applyFont="1" applyBorder="1" applyAlignment="1">
      <alignment horizontal="center" vertical="center"/>
    </xf>
    <xf numFmtId="10" fontId="27" fillId="0" borderId="13" xfId="46" applyNumberFormat="1" applyFont="1" applyFill="1" applyBorder="1" applyAlignment="1" applyProtection="1">
      <alignment horizontal="center" vertical="center"/>
    </xf>
    <xf numFmtId="167" fontId="27" fillId="0" borderId="10" xfId="0" applyNumberFormat="1" applyFont="1" applyBorder="1" applyAlignment="1">
      <alignment horizontal="center" vertical="center"/>
    </xf>
    <xf numFmtId="0" fontId="0" fillId="0" borderId="0" xfId="0" applyAlignment="1">
      <alignment vertical="center"/>
    </xf>
    <xf numFmtId="0" fontId="31" fillId="0" borderId="10" xfId="0" applyFont="1" applyBorder="1" applyAlignment="1">
      <alignment horizontal="center" vertical="center"/>
    </xf>
    <xf numFmtId="0" fontId="32" fillId="0" borderId="0" xfId="0" applyFont="1"/>
    <xf numFmtId="10" fontId="33" fillId="24" borderId="10" xfId="35" applyNumberFormat="1" applyFont="1" applyFill="1" applyBorder="1" applyAlignment="1">
      <alignment horizontal="center" vertical="center"/>
    </xf>
    <xf numFmtId="0" fontId="31" fillId="0" borderId="10" xfId="0" applyFont="1" applyBorder="1" applyAlignment="1">
      <alignment horizontal="center" vertical="center" wrapText="1"/>
    </xf>
    <xf numFmtId="0" fontId="32" fillId="0" borderId="10" xfId="0" applyFont="1" applyBorder="1" applyAlignment="1">
      <alignment horizontal="center" vertical="center"/>
    </xf>
    <xf numFmtId="10" fontId="32" fillId="0" borderId="10" xfId="35" applyNumberFormat="1" applyFont="1" applyBorder="1"/>
    <xf numFmtId="10" fontId="28" fillId="24" borderId="10" xfId="35" applyNumberFormat="1" applyFont="1" applyFill="1" applyBorder="1" applyAlignment="1">
      <alignment horizontal="center" vertical="center"/>
    </xf>
    <xf numFmtId="0" fontId="33" fillId="0" borderId="0" xfId="0" applyFont="1"/>
    <xf numFmtId="0" fontId="31" fillId="0" borderId="0" xfId="0" applyFont="1"/>
    <xf numFmtId="0" fontId="26" fillId="0" borderId="20" xfId="0" applyFont="1" applyBorder="1" applyAlignment="1">
      <alignment horizontal="center" vertical="center" wrapText="1"/>
    </xf>
    <xf numFmtId="4" fontId="35" fillId="0" borderId="10" xfId="46" applyNumberFormat="1" applyFont="1" applyBorder="1" applyAlignment="1">
      <alignment horizontal="center" vertical="center" wrapText="1"/>
    </xf>
    <xf numFmtId="1" fontId="35" fillId="0" borderId="10" xfId="33" applyNumberFormat="1" applyFont="1" applyBorder="1" applyAlignment="1">
      <alignment horizontal="center" vertical="center" wrapText="1"/>
    </xf>
    <xf numFmtId="0" fontId="35" fillId="0" borderId="10" xfId="33" applyFont="1" applyBorder="1" applyAlignment="1">
      <alignment horizontal="center" vertical="center" wrapText="1"/>
    </xf>
    <xf numFmtId="0" fontId="35" fillId="0" borderId="10" xfId="33" applyFont="1" applyBorder="1" applyAlignment="1">
      <alignment horizontal="left" vertical="center" wrapText="1"/>
    </xf>
    <xf numFmtId="4" fontId="35" fillId="0" borderId="10" xfId="46" applyNumberFormat="1" applyFont="1" applyFill="1" applyBorder="1" applyAlignment="1" applyProtection="1">
      <alignment horizontal="center" vertical="center" wrapText="1"/>
    </xf>
    <xf numFmtId="1" fontId="34" fillId="25" borderId="10" xfId="33" applyNumberFormat="1" applyFont="1" applyFill="1" applyBorder="1" applyAlignment="1">
      <alignment horizontal="center" vertical="center" wrapText="1"/>
    </xf>
    <xf numFmtId="0" fontId="34" fillId="25" borderId="10" xfId="33" applyFont="1" applyFill="1" applyBorder="1" applyAlignment="1">
      <alignment horizontal="center" vertical="center" wrapText="1"/>
    </xf>
    <xf numFmtId="0" fontId="34" fillId="25" borderId="10" xfId="33" applyFont="1" applyFill="1" applyBorder="1" applyAlignment="1">
      <alignment vertical="center" wrapText="1"/>
    </xf>
    <xf numFmtId="4" fontId="34" fillId="25" borderId="10" xfId="33" applyNumberFormat="1" applyFont="1" applyFill="1" applyBorder="1" applyAlignment="1">
      <alignment horizontal="center" vertical="center" wrapText="1"/>
    </xf>
    <xf numFmtId="4" fontId="35" fillId="26" borderId="10" xfId="46" applyNumberFormat="1" applyFont="1" applyFill="1" applyBorder="1" applyAlignment="1">
      <alignment horizontal="center" vertical="center" wrapText="1"/>
    </xf>
    <xf numFmtId="4" fontId="34" fillId="25" borderId="10" xfId="46" applyNumberFormat="1" applyFont="1" applyFill="1" applyBorder="1" applyAlignment="1" applyProtection="1">
      <alignment horizontal="center" vertical="center" wrapText="1"/>
    </xf>
    <xf numFmtId="0" fontId="36" fillId="27" borderId="12" xfId="33" applyFont="1" applyFill="1" applyBorder="1" applyAlignment="1">
      <alignment horizontal="center" vertical="center"/>
    </xf>
    <xf numFmtId="0" fontId="36" fillId="27" borderId="12" xfId="33" applyFont="1" applyFill="1" applyBorder="1" applyAlignment="1">
      <alignment horizontal="center" vertical="center" wrapText="1"/>
    </xf>
    <xf numFmtId="0" fontId="32" fillId="0" borderId="17" xfId="0" applyFont="1" applyBorder="1"/>
    <xf numFmtId="0" fontId="0" fillId="0" borderId="21" xfId="0" applyBorder="1" applyAlignment="1">
      <alignment vertical="center"/>
    </xf>
    <xf numFmtId="2" fontId="0" fillId="0" borderId="0" xfId="0" applyNumberFormat="1" applyAlignment="1">
      <alignment vertical="center"/>
    </xf>
    <xf numFmtId="0" fontId="37" fillId="0" borderId="22" xfId="0" applyFont="1" applyBorder="1" applyAlignment="1">
      <alignment vertical="center"/>
    </xf>
    <xf numFmtId="0" fontId="25" fillId="0" borderId="0" xfId="0" applyFont="1" applyAlignment="1">
      <alignment vertical="center"/>
    </xf>
    <xf numFmtId="0" fontId="38" fillId="0" borderId="22" xfId="0" applyFont="1" applyBorder="1" applyAlignment="1">
      <alignment vertical="top"/>
    </xf>
    <xf numFmtId="0" fontId="25" fillId="0" borderId="0" xfId="0" applyFont="1" applyAlignment="1">
      <alignment vertical="top"/>
    </xf>
    <xf numFmtId="0" fontId="0" fillId="0" borderId="0" xfId="0" applyAlignment="1">
      <alignment vertical="top"/>
    </xf>
    <xf numFmtId="2" fontId="0" fillId="0" borderId="0" xfId="0" applyNumberFormat="1" applyAlignment="1">
      <alignment vertical="top"/>
    </xf>
    <xf numFmtId="0" fontId="25" fillId="0" borderId="18" xfId="0" applyFont="1" applyBorder="1" applyAlignment="1">
      <alignment vertical="center"/>
    </xf>
    <xf numFmtId="0" fontId="25" fillId="0" borderId="18" xfId="0" applyFont="1" applyBorder="1" applyAlignment="1">
      <alignment vertical="top"/>
    </xf>
    <xf numFmtId="0" fontId="38" fillId="0" borderId="23" xfId="0" applyFont="1" applyBorder="1" applyAlignment="1">
      <alignment vertical="top"/>
    </xf>
    <xf numFmtId="0" fontId="25" fillId="0" borderId="24" xfId="0" applyFont="1" applyBorder="1" applyAlignment="1">
      <alignment vertical="top"/>
    </xf>
    <xf numFmtId="0" fontId="25" fillId="0" borderId="25" xfId="0" applyFont="1" applyBorder="1" applyAlignment="1">
      <alignment vertical="top"/>
    </xf>
    <xf numFmtId="0" fontId="24" fillId="0" borderId="26" xfId="0" applyFont="1" applyBorder="1" applyAlignment="1">
      <alignment horizontal="center" vertical="center"/>
    </xf>
    <xf numFmtId="0" fontId="0" fillId="0" borderId="18" xfId="0" applyBorder="1" applyAlignment="1">
      <alignment vertical="center"/>
    </xf>
    <xf numFmtId="10" fontId="22" fillId="0" borderId="27" xfId="35" applyNumberFormat="1" applyBorder="1" applyAlignment="1">
      <alignment vertical="center"/>
    </xf>
    <xf numFmtId="10" fontId="22" fillId="0" borderId="28" xfId="35" applyNumberFormat="1" applyBorder="1" applyAlignment="1">
      <alignment vertical="center"/>
    </xf>
    <xf numFmtId="0" fontId="31" fillId="0" borderId="29" xfId="0" applyFont="1" applyBorder="1" applyAlignment="1">
      <alignment horizontal="center" vertical="center"/>
    </xf>
    <xf numFmtId="0" fontId="31" fillId="0" borderId="27" xfId="0" applyFont="1" applyBorder="1" applyAlignment="1">
      <alignment horizontal="center" vertical="center"/>
    </xf>
    <xf numFmtId="10" fontId="32" fillId="0" borderId="27" xfId="35" applyNumberFormat="1" applyFont="1" applyBorder="1"/>
    <xf numFmtId="10" fontId="32" fillId="0" borderId="30" xfId="35" applyNumberFormat="1" applyFont="1" applyBorder="1"/>
    <xf numFmtId="10" fontId="32" fillId="0" borderId="28" xfId="35" applyNumberFormat="1" applyFont="1" applyBorder="1"/>
    <xf numFmtId="10" fontId="32" fillId="0" borderId="29" xfId="35" applyNumberFormat="1" applyFont="1" applyBorder="1"/>
    <xf numFmtId="10" fontId="32" fillId="0" borderId="31" xfId="35" applyNumberFormat="1" applyFont="1" applyBorder="1"/>
    <xf numFmtId="0" fontId="13" fillId="0" borderId="19" xfId="0" applyFont="1" applyBorder="1" applyAlignment="1">
      <alignment horizontal="center"/>
    </xf>
    <xf numFmtId="0" fontId="0" fillId="0" borderId="21" xfId="0" applyBorder="1"/>
    <xf numFmtId="0" fontId="0" fillId="0" borderId="33" xfId="0" applyBorder="1"/>
    <xf numFmtId="0" fontId="0" fillId="0" borderId="34" xfId="0" applyBorder="1"/>
    <xf numFmtId="0" fontId="0" fillId="0" borderId="24" xfId="0" applyBorder="1"/>
    <xf numFmtId="0" fontId="0" fillId="0" borderId="35" xfId="0" applyBorder="1"/>
    <xf numFmtId="168" fontId="33" fillId="0" borderId="0" xfId="0" applyNumberFormat="1" applyFont="1" applyAlignment="1">
      <alignment horizontal="left"/>
    </xf>
    <xf numFmtId="0" fontId="36" fillId="27" borderId="10" xfId="33" applyFont="1" applyFill="1" applyBorder="1" applyAlignment="1">
      <alignment horizontal="center" vertical="center" wrapText="1"/>
    </xf>
    <xf numFmtId="0" fontId="0" fillId="28" borderId="10" xfId="0" applyFill="1" applyBorder="1"/>
    <xf numFmtId="0" fontId="13" fillId="28" borderId="10" xfId="0" applyFont="1" applyFill="1" applyBorder="1" applyAlignment="1">
      <alignment horizontal="center" vertical="center"/>
    </xf>
    <xf numFmtId="167" fontId="0" fillId="28" borderId="10" xfId="0" applyNumberFormat="1" applyFill="1" applyBorder="1" applyAlignment="1">
      <alignment horizontal="center" vertical="center"/>
    </xf>
    <xf numFmtId="0" fontId="24" fillId="0" borderId="36" xfId="0" applyFont="1" applyBorder="1" applyAlignment="1">
      <alignment horizontal="center" vertical="center"/>
    </xf>
    <xf numFmtId="0" fontId="0" fillId="0" borderId="37" xfId="0" applyBorder="1" applyAlignment="1">
      <alignment vertical="center"/>
    </xf>
    <xf numFmtId="0" fontId="0" fillId="0" borderId="38" xfId="0" applyBorder="1" applyAlignment="1">
      <alignment vertical="center"/>
    </xf>
    <xf numFmtId="0" fontId="32" fillId="0" borderId="0" xfId="0" applyFont="1" applyProtection="1">
      <protection locked="0"/>
    </xf>
    <xf numFmtId="0" fontId="31" fillId="0" borderId="0" xfId="0" applyFont="1" applyProtection="1">
      <protection locked="0"/>
    </xf>
    <xf numFmtId="0" fontId="24" fillId="0" borderId="0" xfId="0" applyFont="1" applyProtection="1">
      <protection locked="0"/>
    </xf>
    <xf numFmtId="0" fontId="0" fillId="0" borderId="0" xfId="0" applyProtection="1">
      <protection locked="0"/>
    </xf>
    <xf numFmtId="0" fontId="32" fillId="0" borderId="0" xfId="0" applyFont="1" applyAlignment="1" applyProtection="1">
      <alignment horizontal="left" vertical="center"/>
      <protection locked="0"/>
    </xf>
    <xf numFmtId="0" fontId="39" fillId="0" borderId="0" xfId="0" applyFont="1" applyAlignment="1" applyProtection="1">
      <alignment vertical="center"/>
      <protection locked="0"/>
    </xf>
    <xf numFmtId="0" fontId="0" fillId="0" borderId="0" xfId="0" applyAlignment="1" applyProtection="1">
      <alignment vertical="center"/>
      <protection locked="0"/>
    </xf>
    <xf numFmtId="0" fontId="37" fillId="0" borderId="32" xfId="0" applyFont="1" applyBorder="1" applyAlignment="1">
      <alignment vertical="center"/>
    </xf>
    <xf numFmtId="0" fontId="25" fillId="0" borderId="21" xfId="0" applyFont="1" applyBorder="1" applyAlignment="1">
      <alignment vertical="center"/>
    </xf>
    <xf numFmtId="0" fontId="0" fillId="0" borderId="33" xfId="0" applyBorder="1" applyAlignment="1">
      <alignment vertical="center"/>
    </xf>
    <xf numFmtId="0" fontId="0" fillId="0" borderId="34" xfId="0" applyBorder="1" applyAlignment="1">
      <alignment vertical="center"/>
    </xf>
    <xf numFmtId="0" fontId="0" fillId="0" borderId="34" xfId="0" applyBorder="1" applyAlignment="1">
      <alignment vertical="top"/>
    </xf>
    <xf numFmtId="0" fontId="0" fillId="0" borderId="24" xfId="0" applyBorder="1" applyAlignment="1">
      <alignment vertical="top"/>
    </xf>
    <xf numFmtId="0" fontId="0" fillId="0" borderId="35" xfId="0" applyBorder="1" applyAlignment="1">
      <alignment vertical="top"/>
    </xf>
    <xf numFmtId="0" fontId="0" fillId="0" borderId="39" xfId="0" applyBorder="1" applyAlignment="1">
      <alignment vertical="center"/>
    </xf>
    <xf numFmtId="10" fontId="0" fillId="0" borderId="0" xfId="0" applyNumberFormat="1"/>
    <xf numFmtId="0" fontId="27" fillId="0" borderId="55" xfId="0" applyFont="1" applyBorder="1" applyAlignment="1">
      <alignment horizontal="center" vertical="center"/>
    </xf>
    <xf numFmtId="0" fontId="27" fillId="0" borderId="55" xfId="0" applyFont="1" applyBorder="1" applyAlignment="1">
      <alignment horizontal="center" vertical="center" wrapText="1"/>
    </xf>
    <xf numFmtId="0" fontId="27" fillId="0" borderId="56" xfId="0" applyFont="1" applyBorder="1" applyAlignment="1">
      <alignment horizontal="center" vertical="center"/>
    </xf>
    <xf numFmtId="0" fontId="25" fillId="0" borderId="44" xfId="0" applyFont="1" applyBorder="1"/>
    <xf numFmtId="0" fontId="25" fillId="0" borderId="44" xfId="0" applyFont="1" applyBorder="1" applyAlignment="1">
      <alignment horizontal="left" vertical="center" readingOrder="1"/>
    </xf>
    <xf numFmtId="0" fontId="27" fillId="29" borderId="54" xfId="0" applyFont="1" applyFill="1" applyBorder="1" applyAlignment="1">
      <alignment horizontal="center" vertical="center"/>
    </xf>
    <xf numFmtId="0" fontId="27" fillId="29" borderId="54" xfId="0" applyFont="1" applyFill="1" applyBorder="1" applyAlignment="1">
      <alignment horizontal="center" vertical="center" wrapText="1"/>
    </xf>
    <xf numFmtId="0" fontId="45" fillId="30" borderId="32" xfId="0" applyFont="1" applyFill="1" applyBorder="1"/>
    <xf numFmtId="0" fontId="45" fillId="30" borderId="22" xfId="0" applyFont="1" applyFill="1" applyBorder="1"/>
    <xf numFmtId="0" fontId="45" fillId="30" borderId="23" xfId="0" applyFont="1" applyFill="1" applyBorder="1"/>
    <xf numFmtId="0" fontId="45" fillId="30" borderId="0" xfId="0" applyFont="1" applyFill="1"/>
    <xf numFmtId="0" fontId="45" fillId="31" borderId="22" xfId="0" applyFont="1" applyFill="1" applyBorder="1"/>
    <xf numFmtId="10" fontId="33" fillId="0" borderId="27" xfId="35" applyNumberFormat="1" applyFont="1" applyBorder="1"/>
    <xf numFmtId="10" fontId="33" fillId="0" borderId="10" xfId="35" applyNumberFormat="1" applyFont="1" applyBorder="1"/>
    <xf numFmtId="0" fontId="25" fillId="0" borderId="57" xfId="0" applyFont="1" applyBorder="1" applyAlignment="1">
      <alignment horizontal="center" vertical="center"/>
    </xf>
    <xf numFmtId="0" fontId="25" fillId="0" borderId="11" xfId="0" applyFont="1" applyBorder="1" applyAlignment="1">
      <alignment horizontal="center"/>
    </xf>
    <xf numFmtId="49" fontId="25" fillId="0" borderId="55" xfId="0" applyNumberFormat="1" applyFont="1" applyBorder="1" applyAlignment="1">
      <alignment horizontal="center" vertical="center"/>
    </xf>
    <xf numFmtId="0" fontId="25" fillId="0" borderId="58" xfId="33" applyFont="1" applyBorder="1" applyAlignment="1">
      <alignment horizontal="center" vertical="center" wrapText="1"/>
    </xf>
    <xf numFmtId="10" fontId="25" fillId="0" borderId="55" xfId="0" applyNumberFormat="1" applyFont="1" applyBorder="1" applyAlignment="1">
      <alignment horizontal="center" vertical="center" wrapText="1"/>
    </xf>
    <xf numFmtId="0" fontId="25" fillId="0" borderId="10" xfId="0" applyFont="1" applyBorder="1" applyAlignment="1">
      <alignment horizontal="center" vertical="center"/>
    </xf>
    <xf numFmtId="165" fontId="25" fillId="0" borderId="10" xfId="0" applyNumberFormat="1" applyFont="1" applyBorder="1" applyAlignment="1">
      <alignment horizontal="center" vertical="center"/>
    </xf>
    <xf numFmtId="164" fontId="25" fillId="0" borderId="10" xfId="0" applyNumberFormat="1" applyFont="1" applyBorder="1" applyAlignment="1">
      <alignment horizontal="center" vertical="center"/>
    </xf>
    <xf numFmtId="0" fontId="25" fillId="0" borderId="10" xfId="0" applyFont="1" applyBorder="1"/>
    <xf numFmtId="0" fontId="0" fillId="0" borderId="59" xfId="0" applyBorder="1" applyAlignment="1">
      <alignment vertical="center"/>
    </xf>
    <xf numFmtId="10" fontId="22" fillId="0" borderId="60" xfId="35" applyNumberFormat="1" applyBorder="1" applyAlignment="1">
      <alignment vertical="center"/>
    </xf>
    <xf numFmtId="0" fontId="29" fillId="0" borderId="22" xfId="0" applyFont="1" applyBorder="1" applyAlignment="1">
      <alignment vertical="top"/>
    </xf>
    <xf numFmtId="0" fontId="29" fillId="0" borderId="23" xfId="0" applyFont="1" applyBorder="1" applyAlignment="1">
      <alignment vertical="top"/>
    </xf>
    <xf numFmtId="0" fontId="0" fillId="0" borderId="10" xfId="33" applyFont="1" applyBorder="1" applyAlignment="1">
      <alignment horizontal="left" vertical="center" wrapText="1"/>
    </xf>
    <xf numFmtId="4" fontId="22" fillId="0" borderId="10" xfId="46" applyNumberFormat="1" applyBorder="1" applyAlignment="1">
      <alignment horizontal="center" vertical="center" wrapText="1"/>
    </xf>
    <xf numFmtId="49" fontId="35" fillId="0" borderId="10" xfId="33" applyNumberFormat="1" applyFont="1" applyBorder="1" applyAlignment="1">
      <alignment horizontal="center" vertical="center" wrapText="1"/>
    </xf>
    <xf numFmtId="0" fontId="24" fillId="0" borderId="40" xfId="0" applyFont="1" applyBorder="1" applyAlignment="1">
      <alignment horizontal="center" vertical="center" wrapText="1"/>
    </xf>
    <xf numFmtId="0" fontId="24" fillId="0" borderId="41"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0" xfId="0" applyFont="1" applyBorder="1" applyAlignment="1">
      <alignment horizontal="center" vertical="center"/>
    </xf>
    <xf numFmtId="0" fontId="24" fillId="0" borderId="41" xfId="0" applyFont="1" applyBorder="1" applyAlignment="1">
      <alignment horizontal="center" vertical="center"/>
    </xf>
    <xf numFmtId="0" fontId="24" fillId="0" borderId="42" xfId="0" applyFont="1" applyBorder="1" applyAlignment="1">
      <alignment horizontal="center" vertical="center"/>
    </xf>
    <xf numFmtId="0" fontId="32" fillId="0" borderId="19" xfId="0" applyFont="1" applyBorder="1" applyAlignment="1">
      <alignment horizontal="left" vertical="center"/>
    </xf>
    <xf numFmtId="0" fontId="32" fillId="0" borderId="43" xfId="0" applyFont="1" applyBorder="1" applyAlignment="1">
      <alignment horizontal="left" vertical="center"/>
    </xf>
    <xf numFmtId="0" fontId="40" fillId="0" borderId="19" xfId="0" applyFont="1" applyBorder="1" applyAlignment="1">
      <alignment horizontal="center" vertical="center"/>
    </xf>
    <xf numFmtId="0" fontId="40" fillId="0" borderId="43" xfId="0" applyFont="1" applyBorder="1" applyAlignment="1">
      <alignment horizontal="center" vertical="center"/>
    </xf>
    <xf numFmtId="0" fontId="41" fillId="0" borderId="0" xfId="0" applyFont="1" applyAlignment="1" applyProtection="1">
      <alignment horizontal="center"/>
      <protection locked="0"/>
    </xf>
    <xf numFmtId="0" fontId="31" fillId="0" borderId="0" xfId="0" applyFont="1" applyAlignment="1" applyProtection="1">
      <alignment horizontal="center" vertical="center"/>
      <protection locked="0"/>
    </xf>
    <xf numFmtId="0" fontId="30" fillId="0" borderId="11" xfId="0" applyFont="1" applyBorder="1" applyAlignment="1">
      <alignment horizontal="left" vertical="center"/>
    </xf>
    <xf numFmtId="0" fontId="33" fillId="0" borderId="44" xfId="0" applyFont="1" applyBorder="1" applyAlignment="1" applyProtection="1">
      <alignment horizontal="left" vertical="center"/>
      <protection locked="0"/>
    </xf>
    <xf numFmtId="0" fontId="27" fillId="0" borderId="17" xfId="0" applyFont="1" applyBorder="1" applyAlignment="1">
      <alignment horizontal="left" vertical="center"/>
    </xf>
    <xf numFmtId="0" fontId="27" fillId="0" borderId="0" xfId="0" applyFont="1" applyAlignment="1">
      <alignment horizontal="left" vertical="center"/>
    </xf>
    <xf numFmtId="0" fontId="27" fillId="0" borderId="18" xfId="0" applyFont="1" applyBorder="1" applyAlignment="1">
      <alignment horizontal="left" vertical="center"/>
    </xf>
    <xf numFmtId="0" fontId="23" fillId="0" borderId="0" xfId="33" applyFont="1" applyAlignment="1">
      <alignment horizontal="left"/>
    </xf>
    <xf numFmtId="0" fontId="0" fillId="0" borderId="0" xfId="0" applyAlignment="1">
      <alignment horizontal="left"/>
    </xf>
    <xf numFmtId="0" fontId="0" fillId="0" borderId="32" xfId="0" applyBorder="1" applyAlignment="1">
      <alignment horizontal="center"/>
    </xf>
    <xf numFmtId="0" fontId="0" fillId="0" borderId="21" xfId="0" applyBorder="1" applyAlignment="1">
      <alignment horizontal="center"/>
    </xf>
    <xf numFmtId="0" fontId="0" fillId="0" borderId="33" xfId="0" applyBorder="1" applyAlignment="1">
      <alignment horizontal="center"/>
    </xf>
    <xf numFmtId="0" fontId="42" fillId="27" borderId="45" xfId="0" applyFont="1" applyFill="1" applyBorder="1" applyAlignment="1">
      <alignment horizontal="center" vertical="center"/>
    </xf>
    <xf numFmtId="0" fontId="42" fillId="27" borderId="46" xfId="0" applyFont="1" applyFill="1" applyBorder="1" applyAlignment="1">
      <alignment horizontal="center" vertical="center"/>
    </xf>
    <xf numFmtId="0" fontId="42" fillId="27" borderId="47" xfId="0" applyFont="1" applyFill="1" applyBorder="1" applyAlignment="1">
      <alignment horizontal="center" vertical="center"/>
    </xf>
    <xf numFmtId="49" fontId="35" fillId="26" borderId="46" xfId="33" applyNumberFormat="1" applyFont="1" applyFill="1" applyBorder="1" applyAlignment="1">
      <alignment horizontal="center" vertical="center" wrapText="1"/>
    </xf>
    <xf numFmtId="49" fontId="35" fillId="26" borderId="43" xfId="33" applyNumberFormat="1" applyFont="1" applyFill="1" applyBorder="1" applyAlignment="1">
      <alignment horizontal="center" vertical="center" wrapText="1"/>
    </xf>
    <xf numFmtId="0" fontId="25" fillId="0" borderId="17" xfId="0" applyFont="1" applyBorder="1" applyAlignment="1">
      <alignment horizontal="left" vertical="top"/>
    </xf>
    <xf numFmtId="0" fontId="25" fillId="0" borderId="0" xfId="0" applyFont="1" applyAlignment="1">
      <alignment horizontal="left" vertical="top"/>
    </xf>
    <xf numFmtId="0" fontId="25" fillId="0" borderId="18" xfId="0" applyFont="1" applyBorder="1" applyAlignment="1">
      <alignment horizontal="left" vertical="top"/>
    </xf>
    <xf numFmtId="0" fontId="26" fillId="0" borderId="20"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49" xfId="0" applyFont="1" applyBorder="1" applyAlignment="1">
      <alignment horizontal="center" vertical="center" wrapText="1"/>
    </xf>
    <xf numFmtId="0" fontId="27" fillId="0" borderId="34" xfId="0" applyFont="1" applyBorder="1" applyAlignment="1">
      <alignment horizontal="left" vertical="center"/>
    </xf>
    <xf numFmtId="14" fontId="46" fillId="0" borderId="0" xfId="0" applyNumberFormat="1" applyFont="1" applyAlignment="1">
      <alignment horizontal="left" vertical="top"/>
    </xf>
    <xf numFmtId="14" fontId="46" fillId="0" borderId="34" xfId="0" applyNumberFormat="1" applyFont="1" applyBorder="1" applyAlignment="1">
      <alignment horizontal="left" vertical="top"/>
    </xf>
    <xf numFmtId="10" fontId="25" fillId="0" borderId="17" xfId="0" applyNumberFormat="1" applyFont="1" applyBorder="1" applyAlignment="1">
      <alignment horizontal="left" vertical="top"/>
    </xf>
    <xf numFmtId="10" fontId="25" fillId="0" borderId="34" xfId="0" applyNumberFormat="1" applyFont="1" applyBorder="1" applyAlignment="1">
      <alignment horizontal="left" vertical="top"/>
    </xf>
    <xf numFmtId="10" fontId="25" fillId="0" borderId="50" xfId="0" applyNumberFormat="1" applyFont="1" applyBorder="1" applyAlignment="1">
      <alignment horizontal="left" vertical="top"/>
    </xf>
    <xf numFmtId="10" fontId="25" fillId="0" borderId="35" xfId="0" applyNumberFormat="1" applyFont="1" applyBorder="1" applyAlignment="1">
      <alignment horizontal="left" vertical="top"/>
    </xf>
    <xf numFmtId="0" fontId="0" fillId="0" borderId="50" xfId="0" applyBorder="1" applyAlignment="1">
      <alignment horizontal="left" vertical="top"/>
    </xf>
    <xf numFmtId="0" fontId="0" fillId="0" borderId="24" xfId="0" applyBorder="1" applyAlignment="1">
      <alignment horizontal="left" vertical="top"/>
    </xf>
    <xf numFmtId="0" fontId="0" fillId="0" borderId="25" xfId="0" applyBorder="1" applyAlignment="1">
      <alignment horizontal="left" vertical="top"/>
    </xf>
    <xf numFmtId="0" fontId="38" fillId="0" borderId="22" xfId="0" applyFont="1" applyBorder="1" applyAlignment="1">
      <alignment horizontal="left" vertical="top"/>
    </xf>
    <xf numFmtId="0" fontId="38" fillId="0" borderId="0" xfId="0" applyFont="1" applyAlignment="1">
      <alignment horizontal="left" vertical="top"/>
    </xf>
    <xf numFmtId="0" fontId="38" fillId="0" borderId="18" xfId="0" applyFont="1" applyBorder="1" applyAlignment="1">
      <alignment horizontal="left" vertical="top"/>
    </xf>
    <xf numFmtId="4" fontId="34" fillId="25" borderId="19" xfId="33" applyNumberFormat="1" applyFont="1" applyFill="1" applyBorder="1" applyAlignment="1">
      <alignment horizontal="center" vertical="center" wrapText="1"/>
    </xf>
    <xf numFmtId="4" fontId="34" fillId="25" borderId="46" xfId="33" applyNumberFormat="1" applyFont="1" applyFill="1" applyBorder="1" applyAlignment="1">
      <alignment horizontal="center" vertical="center" wrapText="1"/>
    </xf>
    <xf numFmtId="4" fontId="34" fillId="25" borderId="43" xfId="33" applyNumberFormat="1" applyFont="1" applyFill="1" applyBorder="1" applyAlignment="1">
      <alignment horizontal="center" vertical="center" wrapText="1"/>
    </xf>
    <xf numFmtId="4" fontId="35" fillId="0" borderId="19" xfId="46" applyNumberFormat="1" applyFont="1" applyBorder="1" applyAlignment="1">
      <alignment horizontal="center" vertical="center" wrapText="1"/>
    </xf>
    <xf numFmtId="4" fontId="35" fillId="0" borderId="46" xfId="46" applyNumberFormat="1" applyFont="1" applyBorder="1" applyAlignment="1">
      <alignment horizontal="center" vertical="center" wrapText="1"/>
    </xf>
    <xf numFmtId="4" fontId="35" fillId="0" borderId="43" xfId="46" applyNumberFormat="1" applyFont="1" applyBorder="1" applyAlignment="1">
      <alignment horizontal="center" vertical="center" wrapText="1"/>
    </xf>
    <xf numFmtId="0" fontId="36" fillId="27" borderId="61" xfId="33" applyFont="1" applyFill="1" applyBorder="1" applyAlignment="1">
      <alignment horizontal="center" vertical="center" wrapText="1"/>
    </xf>
    <xf numFmtId="0" fontId="36" fillId="27" borderId="62" xfId="33" applyFont="1" applyFill="1" applyBorder="1" applyAlignment="1">
      <alignment horizontal="center" vertical="center" wrapText="1"/>
    </xf>
    <xf numFmtId="0" fontId="36" fillId="27" borderId="63" xfId="33" applyFont="1" applyFill="1" applyBorder="1" applyAlignment="1">
      <alignment horizontal="center" vertical="center" wrapText="1"/>
    </xf>
    <xf numFmtId="0" fontId="38" fillId="0" borderId="34" xfId="0" applyFont="1" applyBorder="1" applyAlignment="1">
      <alignment horizontal="left" vertical="top"/>
    </xf>
    <xf numFmtId="0" fontId="42" fillId="27" borderId="51" xfId="0" applyFont="1" applyFill="1" applyBorder="1" applyAlignment="1">
      <alignment horizontal="center" vertical="center"/>
    </xf>
    <xf numFmtId="0" fontId="42" fillId="27" borderId="52" xfId="0" applyFont="1" applyFill="1" applyBorder="1" applyAlignment="1">
      <alignment horizontal="center" vertical="center"/>
    </xf>
    <xf numFmtId="0" fontId="42" fillId="27" borderId="53" xfId="0" applyFont="1" applyFill="1" applyBorder="1" applyAlignment="1">
      <alignment horizontal="center" vertical="center"/>
    </xf>
    <xf numFmtId="0" fontId="20" fillId="0" borderId="0" xfId="0" applyFont="1" applyAlignment="1">
      <alignment horizontal="center"/>
    </xf>
    <xf numFmtId="0" fontId="0" fillId="0" borderId="51"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27" fillId="0" borderId="32" xfId="0" applyFont="1" applyBorder="1" applyAlignment="1">
      <alignment horizontal="left" vertical="center"/>
    </xf>
    <xf numFmtId="0" fontId="27" fillId="0" borderId="33" xfId="0" applyFont="1" applyBorder="1" applyAlignment="1">
      <alignment horizontal="left" vertical="center"/>
    </xf>
    <xf numFmtId="14" fontId="43" fillId="0" borderId="22" xfId="0" applyNumberFormat="1" applyFont="1" applyBorder="1" applyAlignment="1">
      <alignment horizontal="left" vertical="top"/>
    </xf>
    <xf numFmtId="14" fontId="43" fillId="0" borderId="34" xfId="0" applyNumberFormat="1" applyFont="1" applyBorder="1" applyAlignment="1">
      <alignment horizontal="left" vertical="top"/>
    </xf>
    <xf numFmtId="0" fontId="27" fillId="0" borderId="22" xfId="0" applyFont="1" applyBorder="1" applyAlignment="1">
      <alignment horizontal="left" vertical="center"/>
    </xf>
    <xf numFmtId="10" fontId="25" fillId="0" borderId="22" xfId="0" applyNumberFormat="1" applyFont="1" applyBorder="1" applyAlignment="1">
      <alignment horizontal="left" vertical="top"/>
    </xf>
    <xf numFmtId="10" fontId="25" fillId="0" borderId="23" xfId="0" applyNumberFormat="1" applyFont="1" applyBorder="1" applyAlignment="1">
      <alignment horizontal="left" vertical="top"/>
    </xf>
  </cellXfs>
  <cellStyles count="49">
    <cellStyle name="20% - Ênfase1 2" xfId="1"/>
    <cellStyle name="20% - Ênfase2 2" xfId="2"/>
    <cellStyle name="20% - Ênfase3 2" xfId="3"/>
    <cellStyle name="20% - Ênfase4 2" xfId="4"/>
    <cellStyle name="20% - Ênfase5 2" xfId="5"/>
    <cellStyle name="20% - Ênfase6 2" xfId="6"/>
    <cellStyle name="40% - Ênfase1 2" xfId="7"/>
    <cellStyle name="40% - Ênfase2 2" xfId="8"/>
    <cellStyle name="40% - Ênfase3 2" xfId="9"/>
    <cellStyle name="40% - Ênfase4 2" xfId="10"/>
    <cellStyle name="40% - Ênfase5 2" xfId="11"/>
    <cellStyle name="40% - Ênfase6 2" xfId="12"/>
    <cellStyle name="60% - Ênfase1 2" xfId="13"/>
    <cellStyle name="60% - Ênfase2 2" xfId="14"/>
    <cellStyle name="60% - Ênfase3 2" xfId="15"/>
    <cellStyle name="60% - Ênfase4 2" xfId="16"/>
    <cellStyle name="60% - Ênfase5 2" xfId="17"/>
    <cellStyle name="60% - Ênfase6 2" xfId="18"/>
    <cellStyle name="Bom 2" xfId="19"/>
    <cellStyle name="Cálculo 2" xfId="20"/>
    <cellStyle name="Célula de Verificação 2" xfId="21"/>
    <cellStyle name="Célula Vinculada 2" xfId="22"/>
    <cellStyle name="Ênfase1 2" xfId="23"/>
    <cellStyle name="Ênfase2 2" xfId="24"/>
    <cellStyle name="Ênfase3 2" xfId="25"/>
    <cellStyle name="Ênfase4 2" xfId="26"/>
    <cellStyle name="Ênfase5 2" xfId="27"/>
    <cellStyle name="Ênfase6 2" xfId="28"/>
    <cellStyle name="Entrada 2" xfId="29"/>
    <cellStyle name="Incorreto 2" xfId="30"/>
    <cellStyle name="Moeda 2" xfId="31"/>
    <cellStyle name="Neutra 2" xfId="32"/>
    <cellStyle name="Normal" xfId="0" builtinId="0"/>
    <cellStyle name="Normal 2" xfId="33"/>
    <cellStyle name="Nota 2" xfId="34"/>
    <cellStyle name="Porcentagem" xfId="35" builtinId="5"/>
    <cellStyle name="Porcentagem 2" xfId="36"/>
    <cellStyle name="Saída 2" xfId="37"/>
    <cellStyle name="Separador de milhares" xfId="46" builtinId="3"/>
    <cellStyle name="Texto de Aviso 2" xfId="38"/>
    <cellStyle name="Texto Explicativo 2" xfId="39"/>
    <cellStyle name="Título 1 2" xfId="40"/>
    <cellStyle name="Título 2 2" xfId="41"/>
    <cellStyle name="Título 3 2" xfId="42"/>
    <cellStyle name="Título 4 2" xfId="43"/>
    <cellStyle name="Título 5" xfId="44"/>
    <cellStyle name="Total 2" xfId="45"/>
    <cellStyle name="Vírgula 2" xfId="47"/>
    <cellStyle name="Währung" xfId="4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1533525</xdr:colOff>
      <xdr:row>27</xdr:row>
      <xdr:rowOff>142875</xdr:rowOff>
    </xdr:from>
    <xdr:to>
      <xdr:col>0</xdr:col>
      <xdr:colOff>5953125</xdr:colOff>
      <xdr:row>31</xdr:row>
      <xdr:rowOff>114300</xdr:rowOff>
    </xdr:to>
    <xdr:pic>
      <xdr:nvPicPr>
        <xdr:cNvPr id="1104" name="Imagem 1" descr="Recorte de Tela">
          <a:extLst>
            <a:ext uri="{FF2B5EF4-FFF2-40B4-BE49-F238E27FC236}">
              <a16:creationId xmlns:a16="http://schemas.microsoft.com/office/drawing/2014/main" xmlns="" id="{A0BBDD3B-9072-A79F-F07A-9C9F96180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533525" y="7724775"/>
          <a:ext cx="4419600" cy="7715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0</xdr:col>
      <xdr:colOff>161925</xdr:colOff>
      <xdr:row>0</xdr:row>
      <xdr:rowOff>228600</xdr:rowOff>
    </xdr:from>
    <xdr:to>
      <xdr:col>0</xdr:col>
      <xdr:colOff>1509264</xdr:colOff>
      <xdr:row>5</xdr:row>
      <xdr:rowOff>28575</xdr:rowOff>
    </xdr:to>
    <xdr:pic>
      <xdr:nvPicPr>
        <xdr:cNvPr id="4" name="Imagem 3">
          <a:extLst>
            <a:ext uri="{FF2B5EF4-FFF2-40B4-BE49-F238E27FC236}">
              <a16:creationId xmlns:a16="http://schemas.microsoft.com/office/drawing/2014/main" xmlns="" id="{A1AF2668-89D4-41FF-BE64-880B66C267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161925" y="228600"/>
          <a:ext cx="1347339" cy="1390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104775</xdr:colOff>
      <xdr:row>0</xdr:row>
      <xdr:rowOff>57151</xdr:rowOff>
    </xdr:from>
    <xdr:to>
      <xdr:col>2</xdr:col>
      <xdr:colOff>842514</xdr:colOff>
      <xdr:row>0</xdr:row>
      <xdr:rowOff>1447801</xdr:rowOff>
    </xdr:to>
    <xdr:pic>
      <xdr:nvPicPr>
        <xdr:cNvPr id="5" name="Imagem 4">
          <a:extLst>
            <a:ext uri="{FF2B5EF4-FFF2-40B4-BE49-F238E27FC236}">
              <a16:creationId xmlns:a16="http://schemas.microsoft.com/office/drawing/2014/main" xmlns="" id="{5C95CFC8-004E-5260-1506-4E2FF4F3B9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714375" y="57151"/>
          <a:ext cx="1347339" cy="13906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0</xdr:row>
      <xdr:rowOff>57150</xdr:rowOff>
    </xdr:from>
    <xdr:to>
      <xdr:col>2</xdr:col>
      <xdr:colOff>823464</xdr:colOff>
      <xdr:row>0</xdr:row>
      <xdr:rowOff>1447800</xdr:rowOff>
    </xdr:to>
    <xdr:pic>
      <xdr:nvPicPr>
        <xdr:cNvPr id="6" name="Imagem 5">
          <a:extLst>
            <a:ext uri="{FF2B5EF4-FFF2-40B4-BE49-F238E27FC236}">
              <a16:creationId xmlns:a16="http://schemas.microsoft.com/office/drawing/2014/main" xmlns="" id="{AD8397EA-7ED3-4600-B3D4-530D947EEC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95325" y="57150"/>
          <a:ext cx="1347339" cy="13906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471039</xdr:colOff>
      <xdr:row>0</xdr:row>
      <xdr:rowOff>1447800</xdr:rowOff>
    </xdr:to>
    <xdr:pic>
      <xdr:nvPicPr>
        <xdr:cNvPr id="6" name="Imagem 5">
          <a:extLst>
            <a:ext uri="{FF2B5EF4-FFF2-40B4-BE49-F238E27FC236}">
              <a16:creationId xmlns:a16="http://schemas.microsoft.com/office/drawing/2014/main" xmlns="" id="{959E61FD-15B9-471A-B94E-34F6922F46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25" y="57150"/>
          <a:ext cx="1347339" cy="139065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AT20"/>
  <sheetViews>
    <sheetView view="pageBreakPreview" zoomScaleSheetLayoutView="100" workbookViewId="0">
      <selection activeCell="B20" sqref="B20"/>
    </sheetView>
  </sheetViews>
  <sheetFormatPr defaultRowHeight="15"/>
  <cols>
    <col min="1" max="1" width="32.85546875" style="38" bestFit="1" customWidth="1"/>
    <col min="2" max="2" width="60.42578125" style="77" customWidth="1"/>
    <col min="3" max="3" width="55.5703125" style="38" bestFit="1" customWidth="1"/>
    <col min="4" max="5" width="48.42578125" style="38" customWidth="1"/>
    <col min="10" max="10" width="10.28515625" bestFit="1" customWidth="1"/>
    <col min="11" max="11" width="10.85546875" customWidth="1"/>
    <col min="12" max="12" width="10.28515625" bestFit="1" customWidth="1"/>
    <col min="15" max="15" width="10.28515625" bestFit="1" customWidth="1"/>
    <col min="16" max="16" width="10.85546875" customWidth="1"/>
    <col min="17" max="17" width="10.28515625" bestFit="1" customWidth="1"/>
    <col min="20" max="20" width="10.28515625" bestFit="1" customWidth="1"/>
    <col min="21" max="21" width="10.85546875" customWidth="1"/>
    <col min="22" max="22" width="10.28515625" bestFit="1" customWidth="1"/>
    <col min="25" max="25" width="10.28515625" bestFit="1" customWidth="1"/>
    <col min="26" max="26" width="10.85546875" customWidth="1"/>
    <col min="27" max="27" width="10.28515625" bestFit="1" customWidth="1"/>
    <col min="30" max="30" width="10.28515625" bestFit="1" customWidth="1"/>
    <col min="31" max="31" width="10.85546875" customWidth="1"/>
    <col min="32" max="32" width="10.28515625" bestFit="1" customWidth="1"/>
    <col min="35" max="35" width="10.28515625" bestFit="1" customWidth="1"/>
    <col min="36" max="36" width="10.85546875" customWidth="1"/>
    <col min="37" max="37" width="10.28515625" bestFit="1" customWidth="1"/>
    <col min="45" max="45" width="25.28515625" bestFit="1" customWidth="1"/>
  </cols>
  <sheetData>
    <row r="1" spans="1:46">
      <c r="A1" s="98" t="s">
        <v>118</v>
      </c>
      <c r="B1" s="98" t="s">
        <v>179</v>
      </c>
      <c r="C1" s="98" t="s">
        <v>180</v>
      </c>
      <c r="D1" s="98" t="s">
        <v>181</v>
      </c>
      <c r="E1" s="98" t="s">
        <v>192</v>
      </c>
      <c r="F1" s="76" t="s">
        <v>104</v>
      </c>
      <c r="H1" s="124"/>
      <c r="I1" s="88"/>
      <c r="J1" s="150" t="s">
        <v>182</v>
      </c>
      <c r="K1" s="151"/>
      <c r="L1" s="152"/>
      <c r="M1" s="88"/>
      <c r="N1" s="88"/>
      <c r="O1" s="150" t="s">
        <v>183</v>
      </c>
      <c r="P1" s="151"/>
      <c r="Q1" s="152"/>
      <c r="R1" s="88"/>
      <c r="S1" s="88"/>
      <c r="T1" s="147" t="s">
        <v>186</v>
      </c>
      <c r="U1" s="148"/>
      <c r="V1" s="149"/>
      <c r="W1" s="88"/>
      <c r="X1" s="88"/>
      <c r="Y1" s="147" t="s">
        <v>184</v>
      </c>
      <c r="Z1" s="148"/>
      <c r="AA1" s="149"/>
      <c r="AB1" s="88"/>
      <c r="AC1" s="88"/>
      <c r="AD1" s="147" t="s">
        <v>185</v>
      </c>
      <c r="AE1" s="148"/>
      <c r="AF1" s="149"/>
      <c r="AG1" s="88"/>
      <c r="AH1" s="88"/>
      <c r="AI1" s="147" t="s">
        <v>187</v>
      </c>
      <c r="AJ1" s="148"/>
      <c r="AK1" s="149"/>
      <c r="AL1" s="89"/>
    </row>
    <row r="2" spans="1:46" ht="15.75">
      <c r="A2" s="99" t="s">
        <v>119</v>
      </c>
      <c r="B2" s="99" t="s">
        <v>259</v>
      </c>
      <c r="C2" s="99" t="s">
        <v>260</v>
      </c>
      <c r="D2" s="99" t="s">
        <v>120</v>
      </c>
      <c r="E2" s="99" t="s">
        <v>193</v>
      </c>
      <c r="F2" s="78">
        <v>0.05</v>
      </c>
      <c r="H2" s="125"/>
      <c r="J2" s="80" t="s">
        <v>89</v>
      </c>
      <c r="K2" s="39" t="s">
        <v>217</v>
      </c>
      <c r="L2" s="81" t="s">
        <v>90</v>
      </c>
      <c r="O2" s="80" t="s">
        <v>89</v>
      </c>
      <c r="P2" s="39" t="s">
        <v>217</v>
      </c>
      <c r="Q2" s="81" t="s">
        <v>90</v>
      </c>
      <c r="T2" s="80" t="s">
        <v>89</v>
      </c>
      <c r="U2" s="39" t="s">
        <v>217</v>
      </c>
      <c r="V2" s="81" t="s">
        <v>90</v>
      </c>
      <c r="Y2" s="80" t="s">
        <v>89</v>
      </c>
      <c r="Z2" s="39" t="s">
        <v>217</v>
      </c>
      <c r="AA2" s="81" t="s">
        <v>90</v>
      </c>
      <c r="AD2" s="80" t="s">
        <v>89</v>
      </c>
      <c r="AE2" s="39" t="s">
        <v>217</v>
      </c>
      <c r="AF2" s="81" t="s">
        <v>90</v>
      </c>
      <c r="AI2" s="80" t="s">
        <v>89</v>
      </c>
      <c r="AJ2" s="39" t="s">
        <v>217</v>
      </c>
      <c r="AK2" s="81" t="s">
        <v>90</v>
      </c>
      <c r="AL2" s="90"/>
      <c r="AM2" t="s">
        <v>182</v>
      </c>
      <c r="AS2" t="s">
        <v>243</v>
      </c>
      <c r="AT2" t="s">
        <v>244</v>
      </c>
    </row>
    <row r="3" spans="1:46" ht="15.75">
      <c r="A3" s="99" t="s">
        <v>121</v>
      </c>
      <c r="B3" s="99" t="s">
        <v>117</v>
      </c>
      <c r="C3" s="99" t="s">
        <v>122</v>
      </c>
      <c r="D3" s="99" t="s">
        <v>123</v>
      </c>
      <c r="E3" s="99" t="s">
        <v>194</v>
      </c>
      <c r="F3" s="78">
        <v>0.03</v>
      </c>
      <c r="H3" s="125"/>
      <c r="I3" s="87" t="s">
        <v>92</v>
      </c>
      <c r="J3" s="85">
        <v>0.03</v>
      </c>
      <c r="K3" s="44">
        <v>4.4999999999999998E-2</v>
      </c>
      <c r="L3" s="82">
        <v>5.5E-2</v>
      </c>
      <c r="N3" s="87" t="s">
        <v>92</v>
      </c>
      <c r="O3" s="85">
        <v>3.7999999999999999E-2</v>
      </c>
      <c r="P3" s="130">
        <v>4.6699999999999998E-2</v>
      </c>
      <c r="Q3" s="82">
        <v>4.6699999999999998E-2</v>
      </c>
      <c r="S3" s="87" t="s">
        <v>92</v>
      </c>
      <c r="T3" s="85">
        <v>3.4299999999999997E-2</v>
      </c>
      <c r="U3" s="44">
        <v>4.9299999999999997E-2</v>
      </c>
      <c r="V3" s="82">
        <v>6.7100000000000007E-2</v>
      </c>
      <c r="X3" s="87" t="s">
        <v>92</v>
      </c>
      <c r="Y3" s="85">
        <v>5.2900000000000003E-2</v>
      </c>
      <c r="Z3" s="44">
        <v>6.2E-2</v>
      </c>
      <c r="AA3" s="82">
        <v>7.9299999999999995E-2</v>
      </c>
      <c r="AC3" s="87" t="s">
        <v>92</v>
      </c>
      <c r="AD3" s="85">
        <v>0.04</v>
      </c>
      <c r="AE3" s="44">
        <v>5.5199999999999999E-2</v>
      </c>
      <c r="AF3" s="82">
        <v>7.85E-2</v>
      </c>
      <c r="AH3" s="87" t="s">
        <v>92</v>
      </c>
      <c r="AI3" s="85">
        <v>1.4999999999999999E-2</v>
      </c>
      <c r="AJ3" s="44">
        <v>1.4999999999999999E-2</v>
      </c>
      <c r="AK3" s="82">
        <v>4.4900000000000002E-2</v>
      </c>
      <c r="AL3" s="90"/>
      <c r="AM3" t="s">
        <v>183</v>
      </c>
      <c r="AS3" t="s">
        <v>248</v>
      </c>
      <c r="AT3" t="s">
        <v>245</v>
      </c>
    </row>
    <row r="4" spans="1:46" ht="15.75">
      <c r="A4" s="99" t="s">
        <v>124</v>
      </c>
      <c r="B4" s="99" t="s">
        <v>125</v>
      </c>
      <c r="C4" s="99" t="s">
        <v>126</v>
      </c>
      <c r="D4" s="99" t="s">
        <v>127</v>
      </c>
      <c r="E4" s="99" t="s">
        <v>195</v>
      </c>
      <c r="F4" s="78">
        <v>0.05</v>
      </c>
      <c r="H4" s="125"/>
      <c r="I4" s="87" t="s">
        <v>94</v>
      </c>
      <c r="J4" s="85">
        <v>8.0000000000000002E-3</v>
      </c>
      <c r="K4" s="44">
        <v>8.0000000000000002E-3</v>
      </c>
      <c r="L4" s="82">
        <v>0.01</v>
      </c>
      <c r="N4" s="87" t="s">
        <v>94</v>
      </c>
      <c r="O4" s="85">
        <v>3.2000000000000002E-3</v>
      </c>
      <c r="P4" s="44">
        <v>6.0000000000000001E-3</v>
      </c>
      <c r="Q4" s="82">
        <v>7.4000000000000003E-3</v>
      </c>
      <c r="S4" s="87" t="s">
        <v>94</v>
      </c>
      <c r="T4" s="85">
        <v>2.8E-3</v>
      </c>
      <c r="U4" s="44">
        <v>4.8999999999999998E-3</v>
      </c>
      <c r="V4" s="129">
        <v>7.4999999999999997E-3</v>
      </c>
      <c r="X4" s="87" t="s">
        <v>94</v>
      </c>
      <c r="Y4" s="85">
        <v>2.5000000000000001E-3</v>
      </c>
      <c r="Z4" s="44">
        <v>5.1000000000000004E-3</v>
      </c>
      <c r="AA4" s="82">
        <v>5.5999999999999999E-3</v>
      </c>
      <c r="AC4" s="87" t="s">
        <v>94</v>
      </c>
      <c r="AD4" s="85">
        <v>8.0999999999999996E-3</v>
      </c>
      <c r="AE4" s="44">
        <v>1.2200000000000001E-2</v>
      </c>
      <c r="AF4" s="82">
        <v>1.9900000000000001E-2</v>
      </c>
      <c r="AH4" s="87" t="s">
        <v>94</v>
      </c>
      <c r="AI4" s="85">
        <v>3.0000000000000001E-3</v>
      </c>
      <c r="AJ4" s="44">
        <v>3.0000000000000001E-3</v>
      </c>
      <c r="AK4" s="82">
        <v>8.2000000000000007E-3</v>
      </c>
      <c r="AL4" s="90"/>
      <c r="AM4" t="s">
        <v>186</v>
      </c>
      <c r="AS4" t="s">
        <v>249</v>
      </c>
      <c r="AT4" t="s">
        <v>250</v>
      </c>
    </row>
    <row r="5" spans="1:46" ht="15.75">
      <c r="A5" s="99" t="s">
        <v>128</v>
      </c>
      <c r="B5" s="99" t="s">
        <v>129</v>
      </c>
      <c r="C5" s="99" t="s">
        <v>130</v>
      </c>
      <c r="D5" s="99" t="s">
        <v>131</v>
      </c>
      <c r="E5" s="99" t="s">
        <v>200</v>
      </c>
      <c r="F5" s="78">
        <v>0.05</v>
      </c>
      <c r="H5" s="125"/>
      <c r="I5" s="87" t="s">
        <v>96</v>
      </c>
      <c r="J5" s="85">
        <v>9.7000000000000003E-3</v>
      </c>
      <c r="K5" s="44">
        <v>1.06E-2</v>
      </c>
      <c r="L5" s="82">
        <v>1.2699999999999999E-2</v>
      </c>
      <c r="N5" s="87" t="s">
        <v>96</v>
      </c>
      <c r="O5" s="85">
        <v>5.0000000000000001E-3</v>
      </c>
      <c r="P5" s="44">
        <v>8.0000000000000002E-3</v>
      </c>
      <c r="Q5" s="82">
        <v>9.7000000000000003E-3</v>
      </c>
      <c r="S5" s="87" t="s">
        <v>96</v>
      </c>
      <c r="T5" s="85">
        <v>0.01</v>
      </c>
      <c r="U5" s="44">
        <v>1.3899999999999999E-2</v>
      </c>
      <c r="V5" s="82">
        <v>1.7399999999999999E-2</v>
      </c>
      <c r="X5" s="87" t="s">
        <v>96</v>
      </c>
      <c r="Y5" s="85">
        <v>0.01</v>
      </c>
      <c r="Z5" s="44">
        <v>1.4800000000000001E-2</v>
      </c>
      <c r="AA5" s="82">
        <v>1.9699999999999999E-2</v>
      </c>
      <c r="AC5" s="87" t="s">
        <v>96</v>
      </c>
      <c r="AD5" s="85">
        <v>1.46E-2</v>
      </c>
      <c r="AE5" s="44">
        <v>2.3199999999999998E-2</v>
      </c>
      <c r="AF5" s="82">
        <v>3.1600000000000003E-2</v>
      </c>
      <c r="AH5" s="87" t="s">
        <v>96</v>
      </c>
      <c r="AI5" s="85">
        <v>5.5999999999999999E-3</v>
      </c>
      <c r="AJ5" s="44">
        <v>5.5999999999999999E-3</v>
      </c>
      <c r="AK5" s="82">
        <v>8.8999999999999999E-3</v>
      </c>
      <c r="AL5" s="90"/>
      <c r="AM5" t="s">
        <v>184</v>
      </c>
      <c r="AS5" t="s">
        <v>253</v>
      </c>
      <c r="AT5" t="s">
        <v>246</v>
      </c>
    </row>
    <row r="6" spans="1:46" ht="15.75">
      <c r="A6" s="99" t="s">
        <v>132</v>
      </c>
      <c r="B6" s="99" t="s">
        <v>133</v>
      </c>
      <c r="C6" s="99" t="s">
        <v>134</v>
      </c>
      <c r="D6" s="99" t="s">
        <v>135</v>
      </c>
      <c r="E6" s="99" t="s">
        <v>201</v>
      </c>
      <c r="F6" s="78">
        <v>0.02</v>
      </c>
      <c r="H6" s="125"/>
      <c r="I6" s="87" t="s">
        <v>98</v>
      </c>
      <c r="J6" s="85">
        <v>5.8999999999999999E-3</v>
      </c>
      <c r="K6" s="44">
        <v>1.23E-2</v>
      </c>
      <c r="L6" s="82">
        <v>1.3899999999999999E-2</v>
      </c>
      <c r="N6" s="87" t="s">
        <v>98</v>
      </c>
      <c r="O6" s="85">
        <v>1.0200000000000001E-2</v>
      </c>
      <c r="P6" s="44">
        <v>1.11E-2</v>
      </c>
      <c r="Q6" s="82">
        <v>1.21E-2</v>
      </c>
      <c r="S6" s="87" t="s">
        <v>98</v>
      </c>
      <c r="T6" s="85">
        <v>9.4000000000000004E-3</v>
      </c>
      <c r="U6" s="44">
        <v>9.9000000000000008E-3</v>
      </c>
      <c r="V6" s="82">
        <v>1.17E-2</v>
      </c>
      <c r="X6" s="87" t="s">
        <v>98</v>
      </c>
      <c r="Y6" s="85">
        <v>1.01E-2</v>
      </c>
      <c r="Z6" s="44">
        <v>1.0699999999999999E-2</v>
      </c>
      <c r="AA6" s="82">
        <v>1.11E-2</v>
      </c>
      <c r="AC6" s="87" t="s">
        <v>98</v>
      </c>
      <c r="AD6" s="85">
        <v>9.4000000000000004E-3</v>
      </c>
      <c r="AE6" s="44">
        <v>1.0200000000000001E-2</v>
      </c>
      <c r="AF6" s="82">
        <v>1.3299999999999999E-2</v>
      </c>
      <c r="AH6" s="87" t="s">
        <v>98</v>
      </c>
      <c r="AI6" s="85">
        <v>8.5000000000000006E-3</v>
      </c>
      <c r="AJ6" s="44">
        <v>8.5000000000000006E-3</v>
      </c>
      <c r="AK6" s="82">
        <v>1.11E-2</v>
      </c>
      <c r="AL6" s="90"/>
      <c r="AM6" t="s">
        <v>185</v>
      </c>
      <c r="AS6" t="s">
        <v>58</v>
      </c>
      <c r="AT6" t="s">
        <v>247</v>
      </c>
    </row>
    <row r="7" spans="1:46" ht="15.75">
      <c r="A7" s="99" t="s">
        <v>236</v>
      </c>
      <c r="B7" s="99" t="s">
        <v>237</v>
      </c>
      <c r="C7" s="99" t="s">
        <v>238</v>
      </c>
      <c r="D7" s="99" t="s">
        <v>239</v>
      </c>
      <c r="E7" s="99" t="s">
        <v>240</v>
      </c>
      <c r="F7" s="78">
        <v>0.05</v>
      </c>
      <c r="H7" s="125"/>
      <c r="I7" s="87" t="s">
        <v>100</v>
      </c>
      <c r="J7" s="85">
        <v>6.1600000000000002E-2</v>
      </c>
      <c r="K7" s="44">
        <v>7.400000000000001E-2</v>
      </c>
      <c r="L7" s="82">
        <v>8.9600000000000013E-2</v>
      </c>
      <c r="N7" s="87" t="s">
        <v>100</v>
      </c>
      <c r="O7" s="85">
        <v>6.6400000000000001E-2</v>
      </c>
      <c r="P7" s="44">
        <v>0.08</v>
      </c>
      <c r="Q7" s="82">
        <v>8.6900000000000005E-2</v>
      </c>
      <c r="S7" s="87" t="s">
        <v>100</v>
      </c>
      <c r="T7" s="85">
        <v>6.7400000000000002E-2</v>
      </c>
      <c r="U7" s="44">
        <v>8.0399999999999999E-2</v>
      </c>
      <c r="V7" s="82">
        <v>9.4E-2</v>
      </c>
      <c r="X7" s="87" t="s">
        <v>100</v>
      </c>
      <c r="Y7" s="85">
        <v>0.08</v>
      </c>
      <c r="Z7" s="44">
        <v>8.3099999999999993E-2</v>
      </c>
      <c r="AA7" s="82">
        <v>9.5100000000000004E-2</v>
      </c>
      <c r="AC7" s="87" t="s">
        <v>100</v>
      </c>
      <c r="AD7" s="85">
        <v>7.1400000000000005E-2</v>
      </c>
      <c r="AE7" s="44">
        <v>8.4000000000000005E-2</v>
      </c>
      <c r="AF7" s="82">
        <v>0.1043</v>
      </c>
      <c r="AH7" s="87" t="s">
        <v>100</v>
      </c>
      <c r="AI7" s="85">
        <v>3.5000000000000003E-2</v>
      </c>
      <c r="AJ7" s="44">
        <v>3.5000000000000003E-2</v>
      </c>
      <c r="AK7" s="82">
        <v>6.2199999999999998E-2</v>
      </c>
      <c r="AL7" s="90"/>
      <c r="AM7" t="s">
        <v>187</v>
      </c>
      <c r="AS7" t="s">
        <v>251</v>
      </c>
      <c r="AT7" t="s">
        <v>252</v>
      </c>
    </row>
    <row r="8" spans="1:46" ht="15.75">
      <c r="A8" s="99" t="s">
        <v>136</v>
      </c>
      <c r="B8" s="99" t="s">
        <v>137</v>
      </c>
      <c r="C8" s="99" t="s">
        <v>138</v>
      </c>
      <c r="D8" s="99" t="s">
        <v>139</v>
      </c>
      <c r="E8" s="99" t="s">
        <v>196</v>
      </c>
      <c r="F8" s="78">
        <v>0.05</v>
      </c>
      <c r="G8" s="115" t="s">
        <v>213</v>
      </c>
      <c r="H8" s="128"/>
      <c r="I8" s="87" t="s">
        <v>102</v>
      </c>
      <c r="J8" s="85">
        <v>3.6499999999999998E-2</v>
      </c>
      <c r="K8" s="44">
        <v>3.6499999999999998E-2</v>
      </c>
      <c r="L8" s="82">
        <v>3.6499999999999998E-2</v>
      </c>
      <c r="N8" s="87" t="s">
        <v>102</v>
      </c>
      <c r="O8" s="85">
        <v>3.6499999999999998E-2</v>
      </c>
      <c r="P8" s="44">
        <v>3.6499999999999998E-2</v>
      </c>
      <c r="Q8" s="82">
        <v>3.6499999999999998E-2</v>
      </c>
      <c r="S8" s="87" t="s">
        <v>102</v>
      </c>
      <c r="T8" s="85">
        <v>3.6499999999999998E-2</v>
      </c>
      <c r="U8" s="44">
        <v>3.6499999999999998E-2</v>
      </c>
      <c r="V8" s="82">
        <v>3.6499999999999998E-2</v>
      </c>
      <c r="X8" s="87" t="s">
        <v>102</v>
      </c>
      <c r="Y8" s="85">
        <v>3.6499999999999998E-2</v>
      </c>
      <c r="Z8" s="44">
        <v>3.6499999999999998E-2</v>
      </c>
      <c r="AA8" s="82">
        <v>3.6499999999999998E-2</v>
      </c>
      <c r="AC8" s="87" t="s">
        <v>102</v>
      </c>
      <c r="AD8" s="85">
        <v>3.6499999999999998E-2</v>
      </c>
      <c r="AE8" s="44">
        <v>3.6499999999999998E-2</v>
      </c>
      <c r="AF8" s="82">
        <v>3.6499999999999998E-2</v>
      </c>
      <c r="AH8" s="87" t="s">
        <v>102</v>
      </c>
      <c r="AI8" s="85">
        <v>3.6499999999999998E-2</v>
      </c>
      <c r="AJ8" s="44">
        <v>3.6499999999999998E-2</v>
      </c>
      <c r="AK8" s="82">
        <v>3.6499999999999998E-2</v>
      </c>
      <c r="AL8" s="90"/>
    </row>
    <row r="9" spans="1:46" ht="15.75">
      <c r="A9" s="99" t="s">
        <v>140</v>
      </c>
      <c r="B9" s="99" t="s">
        <v>141</v>
      </c>
      <c r="C9" s="99" t="s">
        <v>142</v>
      </c>
      <c r="D9" s="99" t="s">
        <v>143</v>
      </c>
      <c r="E9" s="99" t="s">
        <v>197</v>
      </c>
      <c r="F9" s="78">
        <v>0.03</v>
      </c>
      <c r="G9" s="115" t="s">
        <v>214</v>
      </c>
      <c r="H9" s="128"/>
      <c r="I9" s="87" t="s">
        <v>104</v>
      </c>
      <c r="J9" s="85">
        <f>BDI!$C$12*BDI!$C$11</f>
        <v>2.5000000000000001E-2</v>
      </c>
      <c r="K9" s="44">
        <f>BDI!$C$12*BDI!$C$11</f>
        <v>2.5000000000000001E-2</v>
      </c>
      <c r="L9" s="82">
        <f>BDI!$C$12*BDI!$C$11</f>
        <v>2.5000000000000001E-2</v>
      </c>
      <c r="N9" s="87" t="s">
        <v>104</v>
      </c>
      <c r="O9" s="85">
        <f>BDI!$C$12*BDI!$C$11</f>
        <v>2.5000000000000001E-2</v>
      </c>
      <c r="P9" s="44">
        <f>BDI!$C$12*BDI!$C$11</f>
        <v>2.5000000000000001E-2</v>
      </c>
      <c r="Q9" s="82">
        <f>BDI!$C$12*BDI!$C$11</f>
        <v>2.5000000000000001E-2</v>
      </c>
      <c r="S9" s="87" t="s">
        <v>104</v>
      </c>
      <c r="T9" s="85">
        <f>BDI!$C$12*BDI!$C$11</f>
        <v>2.5000000000000001E-2</v>
      </c>
      <c r="U9" s="44">
        <f>BDI!$C$12*BDI!$C$11</f>
        <v>2.5000000000000001E-2</v>
      </c>
      <c r="V9" s="82">
        <f>BDI!$C$12*BDI!$C$11</f>
        <v>2.5000000000000001E-2</v>
      </c>
      <c r="X9" s="87" t="s">
        <v>104</v>
      </c>
      <c r="Y9" s="85">
        <f>BDI!$C$12*BDI!$C$11</f>
        <v>2.5000000000000001E-2</v>
      </c>
      <c r="Z9" s="44">
        <f>BDI!$C$12*BDI!$C$11</f>
        <v>2.5000000000000001E-2</v>
      </c>
      <c r="AA9" s="82">
        <f>BDI!$C$12*BDI!$C$11</f>
        <v>2.5000000000000001E-2</v>
      </c>
      <c r="AC9" s="87" t="s">
        <v>104</v>
      </c>
      <c r="AD9" s="85">
        <f>BDI!$C$12*BDI!$C$11</f>
        <v>2.5000000000000001E-2</v>
      </c>
      <c r="AE9" s="44">
        <f>BDI!$C$12*BDI!$C$11</f>
        <v>2.5000000000000001E-2</v>
      </c>
      <c r="AF9" s="82">
        <f>BDI!$C$12*BDI!$C$11</f>
        <v>2.5000000000000001E-2</v>
      </c>
      <c r="AH9" s="87" t="s">
        <v>104</v>
      </c>
      <c r="AI9" s="85">
        <f>BDI!$C$12*BDI!$C$11</f>
        <v>2.5000000000000001E-2</v>
      </c>
      <c r="AJ9" s="44">
        <f>BDI!$C$12*BDI!$C$11</f>
        <v>2.5000000000000001E-2</v>
      </c>
      <c r="AK9" s="82">
        <f>BDI!$C$12*BDI!$C$11</f>
        <v>2.5000000000000001E-2</v>
      </c>
      <c r="AL9" s="90"/>
    </row>
    <row r="10" spans="1:46" ht="15.75">
      <c r="A10" s="99" t="s">
        <v>254</v>
      </c>
      <c r="B10" s="99" t="s">
        <v>255</v>
      </c>
      <c r="C10" s="99" t="s">
        <v>256</v>
      </c>
      <c r="D10" s="99" t="s">
        <v>144</v>
      </c>
      <c r="E10" s="99" t="s">
        <v>202</v>
      </c>
      <c r="F10" s="78">
        <v>0.03</v>
      </c>
      <c r="G10" s="115" t="s">
        <v>215</v>
      </c>
      <c r="H10" s="125"/>
      <c r="I10" s="87" t="s">
        <v>106</v>
      </c>
      <c r="J10" s="85">
        <v>0</v>
      </c>
      <c r="K10" s="44">
        <v>4.4999999999999998E-2</v>
      </c>
      <c r="L10" s="82">
        <v>4.4999999999999998E-2</v>
      </c>
      <c r="N10" s="87" t="s">
        <v>106</v>
      </c>
      <c r="O10" s="85">
        <v>0</v>
      </c>
      <c r="P10" s="44">
        <v>4.4999999999999998E-2</v>
      </c>
      <c r="Q10" s="82">
        <v>4.4999999999999998E-2</v>
      </c>
      <c r="S10" s="87" t="s">
        <v>106</v>
      </c>
      <c r="T10" s="85">
        <v>0</v>
      </c>
      <c r="U10" s="44">
        <v>4.4999999999999998E-2</v>
      </c>
      <c r="V10" s="82">
        <v>4.4999999999999998E-2</v>
      </c>
      <c r="X10" s="87" t="s">
        <v>106</v>
      </c>
      <c r="Y10" s="85">
        <v>0</v>
      </c>
      <c r="Z10" s="44">
        <v>4.4999999999999998E-2</v>
      </c>
      <c r="AA10" s="82">
        <v>4.4999999999999998E-2</v>
      </c>
      <c r="AC10" s="87" t="s">
        <v>106</v>
      </c>
      <c r="AD10" s="85">
        <v>0</v>
      </c>
      <c r="AE10" s="44">
        <v>4.4999999999999998E-2</v>
      </c>
      <c r="AF10" s="82">
        <v>4.4999999999999998E-2</v>
      </c>
      <c r="AH10" s="87" t="s">
        <v>106</v>
      </c>
      <c r="AI10" s="85">
        <v>0</v>
      </c>
      <c r="AJ10" s="44">
        <v>4.4999999999999998E-2</v>
      </c>
      <c r="AK10" s="82">
        <v>4.4999999999999998E-2</v>
      </c>
      <c r="AL10" s="90"/>
      <c r="AM10" t="s">
        <v>189</v>
      </c>
    </row>
    <row r="11" spans="1:46" ht="15.75">
      <c r="A11" s="99" t="s">
        <v>145</v>
      </c>
      <c r="B11" s="99" t="s">
        <v>146</v>
      </c>
      <c r="C11" s="99" t="s">
        <v>147</v>
      </c>
      <c r="D11" s="99" t="s">
        <v>148</v>
      </c>
      <c r="E11" s="99" t="s">
        <v>203</v>
      </c>
      <c r="F11" s="78">
        <v>0.05</v>
      </c>
      <c r="G11" s="115" t="s">
        <v>216</v>
      </c>
      <c r="H11" s="128"/>
      <c r="J11" s="85"/>
      <c r="K11" s="44"/>
      <c r="L11" s="82"/>
      <c r="O11" s="85"/>
      <c r="P11" s="44"/>
      <c r="Q11" s="82"/>
      <c r="T11" s="85"/>
      <c r="U11" s="44"/>
      <c r="V11" s="82"/>
      <c r="Y11" s="85"/>
      <c r="Z11" s="44"/>
      <c r="AA11" s="82"/>
      <c r="AD11" s="85"/>
      <c r="AE11" s="44"/>
      <c r="AF11" s="82"/>
      <c r="AI11" s="85"/>
      <c r="AJ11" s="44"/>
      <c r="AK11" s="82"/>
      <c r="AL11" s="90"/>
      <c r="AM11" t="s">
        <v>190</v>
      </c>
    </row>
    <row r="12" spans="1:46" ht="16.5" thickBot="1">
      <c r="A12" s="99" t="s">
        <v>149</v>
      </c>
      <c r="B12" s="99" t="s">
        <v>150</v>
      </c>
      <c r="C12" s="99" t="s">
        <v>151</v>
      </c>
      <c r="D12" s="99" t="s">
        <v>152</v>
      </c>
      <c r="E12" s="99" t="s">
        <v>204</v>
      </c>
      <c r="F12" s="78">
        <v>0.02</v>
      </c>
      <c r="H12" s="125"/>
      <c r="J12" s="86"/>
      <c r="K12" s="83"/>
      <c r="L12" s="84"/>
      <c r="O12" s="86"/>
      <c r="P12" s="83"/>
      <c r="Q12" s="84"/>
      <c r="T12" s="86"/>
      <c r="U12" s="83"/>
      <c r="V12" s="84"/>
      <c r="Y12" s="86"/>
      <c r="Z12" s="83"/>
      <c r="AA12" s="84"/>
      <c r="AD12" s="86"/>
      <c r="AE12" s="83"/>
      <c r="AF12" s="84"/>
      <c r="AI12" s="86"/>
      <c r="AJ12" s="83"/>
      <c r="AK12" s="84"/>
      <c r="AL12" s="90"/>
    </row>
    <row r="13" spans="1:46">
      <c r="A13" s="99" t="s">
        <v>153</v>
      </c>
      <c r="B13" s="99" t="s">
        <v>154</v>
      </c>
      <c r="C13" s="99" t="s">
        <v>155</v>
      </c>
      <c r="D13" s="99" t="s">
        <v>156</v>
      </c>
      <c r="E13" s="99" t="s">
        <v>205</v>
      </c>
      <c r="F13" s="78">
        <v>0.02</v>
      </c>
      <c r="H13" s="128"/>
      <c r="AL13" s="90"/>
    </row>
    <row r="14" spans="1:46">
      <c r="A14" s="99" t="s">
        <v>157</v>
      </c>
      <c r="B14" s="99" t="s">
        <v>158</v>
      </c>
      <c r="C14" s="99" t="s">
        <v>159</v>
      </c>
      <c r="D14" s="99" t="s">
        <v>160</v>
      </c>
      <c r="E14" s="99" t="s">
        <v>198</v>
      </c>
      <c r="F14" s="78">
        <v>0.02</v>
      </c>
      <c r="H14" s="128"/>
      <c r="AL14" s="90"/>
    </row>
    <row r="15" spans="1:46">
      <c r="A15" s="99" t="s">
        <v>161</v>
      </c>
      <c r="B15" s="99" t="s">
        <v>162</v>
      </c>
      <c r="C15" s="99" t="s">
        <v>163</v>
      </c>
      <c r="D15" s="99" t="s">
        <v>164</v>
      </c>
      <c r="E15" s="99" t="s">
        <v>199</v>
      </c>
      <c r="F15" s="78">
        <v>0.05</v>
      </c>
      <c r="H15" s="125"/>
      <c r="AL15" s="90"/>
    </row>
    <row r="16" spans="1:46">
      <c r="A16" s="99" t="s">
        <v>165</v>
      </c>
      <c r="B16" s="99" t="s">
        <v>261</v>
      </c>
      <c r="C16" s="99" t="s">
        <v>262</v>
      </c>
      <c r="D16" s="99" t="s">
        <v>166</v>
      </c>
      <c r="E16" s="99" t="s">
        <v>206</v>
      </c>
      <c r="F16" s="78">
        <v>0.02</v>
      </c>
      <c r="H16" s="128"/>
      <c r="K16" s="116"/>
      <c r="AL16" s="90"/>
    </row>
    <row r="17" spans="1:38" ht="15.75" thickBot="1">
      <c r="A17" s="99" t="s">
        <v>167</v>
      </c>
      <c r="B17" s="99" t="s">
        <v>168</v>
      </c>
      <c r="C17" s="99" t="s">
        <v>169</v>
      </c>
      <c r="D17" s="99" t="s">
        <v>170</v>
      </c>
      <c r="E17" s="99" t="s">
        <v>207</v>
      </c>
      <c r="F17" s="78">
        <v>0.03</v>
      </c>
      <c r="H17" s="126"/>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2"/>
    </row>
    <row r="18" spans="1:38">
      <c r="A18" s="99" t="s">
        <v>171</v>
      </c>
      <c r="B18" s="99" t="s">
        <v>172</v>
      </c>
      <c r="C18" s="99" t="s">
        <v>173</v>
      </c>
      <c r="D18" s="99" t="s">
        <v>174</v>
      </c>
      <c r="E18" s="99" t="s">
        <v>208</v>
      </c>
      <c r="F18" s="78">
        <v>0.05</v>
      </c>
      <c r="H18" s="127"/>
    </row>
    <row r="19" spans="1:38">
      <c r="A19" s="140" t="s">
        <v>263</v>
      </c>
      <c r="B19" s="140" t="s">
        <v>264</v>
      </c>
      <c r="C19" s="140" t="s">
        <v>265</v>
      </c>
      <c r="D19" s="140" t="s">
        <v>267</v>
      </c>
      <c r="E19" s="140" t="s">
        <v>266</v>
      </c>
      <c r="F19" s="141">
        <v>0.05</v>
      </c>
      <c r="H19" s="127"/>
    </row>
    <row r="20" spans="1:38" ht="15.75" thickBot="1">
      <c r="A20" s="100" t="s">
        <v>175</v>
      </c>
      <c r="B20" s="100" t="s">
        <v>176</v>
      </c>
      <c r="C20" s="100" t="s">
        <v>177</v>
      </c>
      <c r="D20" s="100" t="s">
        <v>178</v>
      </c>
      <c r="E20" s="100" t="s">
        <v>209</v>
      </c>
      <c r="F20" s="79">
        <v>0.05</v>
      </c>
      <c r="H20" s="127"/>
    </row>
  </sheetData>
  <sheetProtection sheet="1" objects="1" scenarios="1" selectLockedCells="1" selectUnlockedCells="1"/>
  <mergeCells count="6">
    <mergeCell ref="AI1:AK1"/>
    <mergeCell ref="J1:L1"/>
    <mergeCell ref="O1:Q1"/>
    <mergeCell ref="T1:V1"/>
    <mergeCell ref="Y1:AA1"/>
    <mergeCell ref="AD1:AF1"/>
  </mergeCells>
  <pageMargins left="0.511811024" right="0.511811024" top="0.78740157499999996" bottom="0.78740157499999996" header="0.31496062000000002" footer="0.31496062000000002"/>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sheetPr>
    <pageSetUpPr fitToPage="1"/>
  </sheetPr>
  <dimension ref="A1:N54"/>
  <sheetViews>
    <sheetView tabSelected="1" view="pageBreakPreview" zoomScaleSheetLayoutView="100" workbookViewId="0">
      <selection activeCell="G6" sqref="G6"/>
    </sheetView>
  </sheetViews>
  <sheetFormatPr defaultRowHeight="15"/>
  <cols>
    <col min="1" max="1" width="94.42578125" style="104" customWidth="1"/>
    <col min="2" max="2" width="9.140625" style="104"/>
    <col min="3" max="3" width="11.42578125" style="104" customWidth="1"/>
    <col min="4" max="5" width="9.140625" style="104"/>
    <col min="6" max="6" width="18.42578125" style="104" customWidth="1"/>
    <col min="7" max="7" width="10.85546875" style="104" customWidth="1"/>
    <col min="8" max="8" width="10.28515625" style="104" customWidth="1"/>
    <col min="9" max="9" width="11" style="104" customWidth="1"/>
    <col min="10" max="10" width="9.140625" style="104"/>
    <col min="11" max="12" width="11.5703125" style="104" bestFit="1" customWidth="1"/>
    <col min="13" max="16384" width="9.140625" style="104"/>
  </cols>
  <sheetData>
    <row r="1" spans="1:14" ht="26.25">
      <c r="A1" s="157"/>
      <c r="B1" s="157"/>
      <c r="C1" s="157"/>
    </row>
    <row r="2" spans="1:14" s="107" customFormat="1" ht="24.75" customHeight="1">
      <c r="A2" s="158"/>
      <c r="B2" s="158"/>
      <c r="C2" s="158"/>
    </row>
    <row r="3" spans="1:14" s="107" customFormat="1" ht="24.75" customHeight="1">
      <c r="A3" s="158"/>
      <c r="B3" s="158"/>
      <c r="C3" s="158"/>
    </row>
    <row r="4" spans="1:14" s="107" customFormat="1" ht="24.75" customHeight="1">
      <c r="A4" s="158"/>
      <c r="B4" s="158"/>
      <c r="C4" s="158"/>
    </row>
    <row r="5" spans="1:14" ht="24.75" customHeight="1">
      <c r="A5" s="158"/>
      <c r="B5" s="158"/>
      <c r="C5" s="158"/>
      <c r="F5" s="101"/>
      <c r="G5" s="101"/>
      <c r="H5" s="101"/>
      <c r="I5" s="101"/>
      <c r="J5" s="101"/>
      <c r="K5" s="101"/>
      <c r="L5" s="101"/>
      <c r="M5" s="101"/>
      <c r="N5" s="101"/>
    </row>
    <row r="6" spans="1:14" ht="15.75">
      <c r="F6" s="101"/>
      <c r="G6" s="101"/>
      <c r="H6" s="101"/>
      <c r="I6" s="101"/>
      <c r="J6" s="101"/>
      <c r="K6" s="101"/>
      <c r="L6" s="101"/>
      <c r="M6" s="101"/>
      <c r="N6" s="101"/>
    </row>
    <row r="7" spans="1:14" s="106" customFormat="1" ht="20.100000000000001" customHeight="1">
      <c r="A7" s="159" t="s">
        <v>188</v>
      </c>
      <c r="B7" s="159"/>
      <c r="C7" s="159"/>
      <c r="F7" s="101"/>
      <c r="G7" s="101"/>
      <c r="H7" s="101"/>
      <c r="I7" s="101"/>
      <c r="J7" s="101"/>
      <c r="K7" s="101"/>
      <c r="L7" s="101"/>
      <c r="M7" s="101"/>
      <c r="N7" s="101"/>
    </row>
    <row r="8" spans="1:14" s="106" customFormat="1" ht="20.100000000000001" customHeight="1">
      <c r="A8" s="160" t="s">
        <v>182</v>
      </c>
      <c r="B8" s="160"/>
      <c r="C8" s="160"/>
      <c r="F8" s="101"/>
      <c r="G8" s="101"/>
      <c r="H8" s="101"/>
      <c r="I8" s="101"/>
      <c r="J8" s="101"/>
      <c r="K8" s="101"/>
      <c r="L8" s="101"/>
      <c r="M8" s="101"/>
      <c r="N8" s="101"/>
    </row>
    <row r="9" spans="1:14" s="101" customFormat="1" ht="15.75"/>
    <row r="10" spans="1:14" s="101" customFormat="1" ht="15.75"/>
    <row r="11" spans="1:14" s="105" customFormat="1" ht="20.100000000000001" customHeight="1">
      <c r="A11" s="153" t="s">
        <v>84</v>
      </c>
      <c r="B11" s="154"/>
      <c r="C11" s="41">
        <v>0.5</v>
      </c>
      <c r="F11" s="101"/>
      <c r="G11" s="101"/>
      <c r="H11" s="101"/>
      <c r="I11" s="101"/>
      <c r="J11" s="101"/>
      <c r="K11" s="101"/>
      <c r="L11" s="101"/>
      <c r="M11" s="101"/>
      <c r="N11" s="101"/>
    </row>
    <row r="12" spans="1:14" s="105" customFormat="1" ht="20.100000000000001" customHeight="1">
      <c r="A12" s="153" t="s">
        <v>85</v>
      </c>
      <c r="B12" s="154"/>
      <c r="C12" s="41">
        <f>VLOOKUP('P. O.'!B4,DADOS!B:F,5,0)</f>
        <v>0.05</v>
      </c>
      <c r="F12" s="101"/>
      <c r="G12" s="101"/>
      <c r="H12" s="101"/>
      <c r="I12" s="101"/>
      <c r="J12" s="101"/>
      <c r="K12" s="101"/>
      <c r="L12" s="101"/>
      <c r="M12" s="101"/>
      <c r="N12" s="101"/>
    </row>
    <row r="13" spans="1:14" s="101" customFormat="1" ht="15.75"/>
    <row r="14" spans="1:14" s="101" customFormat="1" ht="15.75"/>
    <row r="15" spans="1:14" s="101" customFormat="1" ht="15.75"/>
    <row r="16" spans="1:14" s="101" customFormat="1" ht="38.25" customHeight="1">
      <c r="A16" s="39" t="s">
        <v>86</v>
      </c>
      <c r="B16" s="39" t="s">
        <v>87</v>
      </c>
      <c r="C16" s="42" t="s">
        <v>88</v>
      </c>
    </row>
    <row r="17" spans="1:3" s="101" customFormat="1" ht="20.100000000000001" customHeight="1">
      <c r="A17" s="43" t="s">
        <v>91</v>
      </c>
      <c r="B17" s="43" t="s">
        <v>92</v>
      </c>
      <c r="C17" s="41">
        <f>IF($A$8=DADOS!J1,DADOS!K3,IF($A$8=DADOS!O1,DADOS!P3,IF($A$8=DADOS!T1,DADOS!U3,IF($A$8=DADOS!Y1,DADOS!Z3,IF($A$8=DADOS!AD1,DADOS!AE3,IF($A$8=DADOS!AI1,DADOS!AJ3,0))))))</f>
        <v>4.4999999999999998E-2</v>
      </c>
    </row>
    <row r="18" spans="1:3" s="101" customFormat="1" ht="20.100000000000001" customHeight="1">
      <c r="A18" s="43" t="s">
        <v>93</v>
      </c>
      <c r="B18" s="43" t="s">
        <v>94</v>
      </c>
      <c r="C18" s="41">
        <f>IF($A$8=DADOS!J1,DADOS!K4,IF($A$8=DADOS!O1,DADOS!P4,IF($A$8=DADOS!T1,DADOS!U4,IF($A$8=DADOS!Y1,DADOS!Z4,IF($A$8=DADOS!AD1,DADOS!AE4,IF($A$8=DADOS!AI1,DADOS!AJ4,0))))))</f>
        <v>8.0000000000000002E-3</v>
      </c>
    </row>
    <row r="19" spans="1:3" s="101" customFormat="1" ht="20.100000000000001" customHeight="1">
      <c r="A19" s="43" t="s">
        <v>95</v>
      </c>
      <c r="B19" s="43" t="s">
        <v>96</v>
      </c>
      <c r="C19" s="41">
        <f>IF($A$8=DADOS!J1,DADOS!K5,IF($A$8=DADOS!O1,DADOS!P5,IF($A$8=DADOS!T1,DADOS!U5,IF($A$8=DADOS!Y1,DADOS!Z5,IF($A$8=DADOS!AD1,DADOS!AE5,IF($A$8=DADOS!AI1,DADOS!AJ5,0))))))</f>
        <v>1.06E-2</v>
      </c>
    </row>
    <row r="20" spans="1:3" s="101" customFormat="1" ht="20.100000000000001" customHeight="1">
      <c r="A20" s="43" t="s">
        <v>97</v>
      </c>
      <c r="B20" s="43" t="s">
        <v>98</v>
      </c>
      <c r="C20" s="41">
        <f>IF($A$8=DADOS!J1,DADOS!K6,IF($A$8=DADOS!O1,DADOS!P6,IF($A$8=DADOS!T1,DADOS!U6,IF($A$8=DADOS!Y1,DADOS!Z6,IF($A$8=DADOS!AD1,DADOS!AE6,IF($A$8=DADOS!AI1,DADOS!AJ6,0))))))</f>
        <v>1.23E-2</v>
      </c>
    </row>
    <row r="21" spans="1:3" s="101" customFormat="1" ht="20.100000000000001" customHeight="1">
      <c r="A21" s="43" t="s">
        <v>99</v>
      </c>
      <c r="B21" s="43" t="s">
        <v>100</v>
      </c>
      <c r="C21" s="41">
        <f>IF($A$8=DADOS!J1,DADOS!K7,IF($A$8=DADOS!O1,DADOS!P7,IF($A$8=DADOS!T1,DADOS!U7,IF($A$8=DADOS!Y1,DADOS!Z7,IF($A$8=DADOS!AD1,DADOS!AE7,IF($A$8=DADOS!AI1,DADOS!AJ7,0))))))</f>
        <v>7.400000000000001E-2</v>
      </c>
    </row>
    <row r="22" spans="1:3" s="101" customFormat="1" ht="20.100000000000001" customHeight="1">
      <c r="A22" s="43" t="s">
        <v>101</v>
      </c>
      <c r="B22" s="43" t="s">
        <v>102</v>
      </c>
      <c r="C22" s="41">
        <f>IF($A$8=DADOS!J1,DADOS!K8,IF($A$8=DADOS!O1,DADOS!P8,IF($A$8=DADOS!T1,DADOS!U8,IF($A$8=DADOS!Y1,DADOS!Z8,IF($A$8=DADOS!AD1,DADOS!AE8,IF($A$8=DADOS!AI1,DADOS!AJ8,0))))))</f>
        <v>3.6499999999999998E-2</v>
      </c>
    </row>
    <row r="23" spans="1:3" s="101" customFormat="1" ht="20.100000000000001" customHeight="1">
      <c r="A23" s="43" t="s">
        <v>103</v>
      </c>
      <c r="B23" s="43" t="s">
        <v>104</v>
      </c>
      <c r="C23" s="41">
        <f>IF($A$8=DADOS!J1,DADOS!L9,IF($A$8=DADOS!O1,DADOS!P9,IF($A$8=DADOS!T1,DADOS!U9,IF($A$8=DADOS!Y1,DADOS!Z9,IF($A$8=DADOS!AD1,DADOS!AE9,IF($A$8=DADOS!AI1,DADOS!AJ9,0))))))</f>
        <v>2.5000000000000001E-2</v>
      </c>
    </row>
    <row r="24" spans="1:3" s="101" customFormat="1" ht="20.100000000000001" customHeight="1">
      <c r="A24" s="43" t="s">
        <v>105</v>
      </c>
      <c r="B24" s="43" t="s">
        <v>106</v>
      </c>
      <c r="C24" s="41">
        <f>IF('P. O.'!F8="NÃO DESONERADO",0,4.5%)</f>
        <v>0</v>
      </c>
    </row>
    <row r="25" spans="1:3" s="101" customFormat="1" ht="20.100000000000001" customHeight="1">
      <c r="A25" s="62"/>
      <c r="B25" s="40"/>
      <c r="C25" s="40"/>
    </row>
    <row r="26" spans="1:3" s="101" customFormat="1" ht="22.5" customHeight="1">
      <c r="A26" s="155" t="str">
        <f>IF('P. O.'!F8="NÃO DESONERADO","BDI SEM DESONERAÇÃO (Fórmula Acórdão TCU)","BDI COM DESONERAÇÃO (Fórmula Acórdão TCU)")</f>
        <v>BDI SEM DESONERAÇÃO (Fórmula Acórdão TCU)</v>
      </c>
      <c r="B26" s="156"/>
      <c r="C26" s="45">
        <f>(((1+C17+C18+C19)*(1+C20)*(1+C21))/(1-C22-C23-C24))-1</f>
        <v>0.23213294482685121</v>
      </c>
    </row>
    <row r="27" spans="1:3" s="101" customFormat="1" ht="15.75"/>
    <row r="28" spans="1:3" s="101" customFormat="1" ht="15.75"/>
    <row r="29" spans="1:3" s="101" customFormat="1" ht="15.75"/>
    <row r="30" spans="1:3" s="101" customFormat="1" ht="15.75"/>
    <row r="31" spans="1:3" s="101" customFormat="1" ht="15.75"/>
    <row r="32" spans="1:3" s="101" customFormat="1" ht="15.75"/>
    <row r="33" spans="1:2" s="101" customFormat="1" ht="15.75"/>
    <row r="34" spans="1:2" s="101" customFormat="1" ht="15.75">
      <c r="A34" s="46" t="str">
        <f>VLOOKUP('P. O.'!B4,DADOS!B:F,4,0)</f>
        <v>Santos Dumont - MG</v>
      </c>
    </row>
    <row r="35" spans="1:2" s="101" customFormat="1" ht="15.75">
      <c r="A35" s="47" t="s">
        <v>191</v>
      </c>
    </row>
    <row r="36" spans="1:2" s="101" customFormat="1" ht="15.75">
      <c r="A36" s="40"/>
    </row>
    <row r="37" spans="1:2" s="101" customFormat="1" ht="15.75">
      <c r="A37" s="93">
        <f>'P. O.'!I4</f>
        <v>45406</v>
      </c>
    </row>
    <row r="38" spans="1:2" s="101" customFormat="1" ht="15.75">
      <c r="A38" s="47" t="s">
        <v>210</v>
      </c>
    </row>
    <row r="39" spans="1:2" s="101" customFormat="1" ht="15.75">
      <c r="B39" s="102"/>
    </row>
    <row r="40" spans="1:2" s="101" customFormat="1" ht="15.75">
      <c r="B40" s="102"/>
    </row>
    <row r="41" spans="1:2" s="101" customFormat="1" ht="15.75">
      <c r="B41" s="102"/>
    </row>
    <row r="42" spans="1:2" s="101" customFormat="1" ht="15.75">
      <c r="A42" s="101" t="s">
        <v>242</v>
      </c>
    </row>
    <row r="43" spans="1:2" s="101" customFormat="1" ht="15.75">
      <c r="A43" s="102" t="str">
        <f>'P. O.'!B60</f>
        <v>Prefeitura Municipal De Santos Dumont</v>
      </c>
    </row>
    <row r="44" spans="1:2" s="101" customFormat="1" ht="15.75">
      <c r="A44" s="101" t="str">
        <f>'P. O.'!B61</f>
        <v>Carlos Alberto De Azevedo</v>
      </c>
    </row>
    <row r="45" spans="1:2" s="101" customFormat="1" ht="15.75">
      <c r="A45" s="101" t="str">
        <f>'P. O.'!B62</f>
        <v>Prefeito Municipal De Santos Dumont</v>
      </c>
    </row>
    <row r="46" spans="1:2" s="101" customFormat="1" ht="15.75"/>
    <row r="47" spans="1:2" s="101" customFormat="1" ht="15.75"/>
    <row r="48" spans="1:2" s="101" customFormat="1" ht="15.75"/>
    <row r="49" spans="1:1" s="101" customFormat="1" ht="15.75">
      <c r="A49" s="101" t="s">
        <v>242</v>
      </c>
    </row>
    <row r="50" spans="1:1" s="101" customFormat="1" ht="15.75">
      <c r="A50" s="102" t="s">
        <v>57</v>
      </c>
    </row>
    <row r="51" spans="1:1" s="101" customFormat="1" ht="15.75">
      <c r="A51" s="101" t="str">
        <f>'P. O.'!G61</f>
        <v>Pedro Giovanni Vieira Vidal</v>
      </c>
    </row>
    <row r="52" spans="1:1" s="101" customFormat="1" ht="15.75">
      <c r="A52" s="101" t="str">
        <f>'P. O.'!G62</f>
        <v>Engenheiro Civil</v>
      </c>
    </row>
    <row r="53" spans="1:1" s="101" customFormat="1" ht="15.75">
      <c r="A53" s="101" t="str">
        <f>'P. O.'!G63</f>
        <v>CREA-MG 59.552/D</v>
      </c>
    </row>
    <row r="54" spans="1:1">
      <c r="A54" s="103"/>
    </row>
  </sheetData>
  <protectedRanges>
    <protectedRange password="E125" sqref="C11:C26" name="Intervalo1"/>
  </protectedRanges>
  <mergeCells count="10">
    <mergeCell ref="A11:B11"/>
    <mergeCell ref="A12:B12"/>
    <mergeCell ref="A26:B26"/>
    <mergeCell ref="A1:C1"/>
    <mergeCell ref="A2:C2"/>
    <mergeCell ref="A3:C3"/>
    <mergeCell ref="A4:C4"/>
    <mergeCell ref="A5:C5"/>
    <mergeCell ref="A7:C7"/>
    <mergeCell ref="A8:C8"/>
  </mergeCells>
  <pageMargins left="0.511811024" right="0.511811024" top="0.48" bottom="0.78740157499999996" header="0.31496062000000002" footer="0.31496062000000002"/>
  <pageSetup paperSize="9" scale="80" orientation="portrait" r:id="rId1"/>
  <drawing r:id="rId2"/>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D578BD12-1718-40EB-AFFA-44F550DC7B80}">
          <x14:formula1>
            <xm:f>DADOS!$AM$2:$AM$7</xm:f>
          </x14:formula1>
          <xm:sqref>A8:C8</xm:sqref>
        </x14:dataValidation>
      </x14:dataValidations>
    </ext>
  </extLst>
</worksheet>
</file>

<file path=xl/worksheets/sheet3.xml><?xml version="1.0" encoding="utf-8"?>
<worksheet xmlns="http://schemas.openxmlformats.org/spreadsheetml/2006/main" xmlns:r="http://schemas.openxmlformats.org/officeDocument/2006/relationships">
  <dimension ref="B1:M66"/>
  <sheetViews>
    <sheetView view="pageBreakPreview" topLeftCell="A47" zoomScaleSheetLayoutView="100" workbookViewId="0">
      <selection activeCell="B1" sqref="B1:J1"/>
    </sheetView>
  </sheetViews>
  <sheetFormatPr defaultRowHeight="15"/>
  <cols>
    <col min="2" max="2" width="9.140625" customWidth="1"/>
    <col min="3" max="4" width="12.7109375" customWidth="1"/>
    <col min="5" max="5" width="77.5703125" customWidth="1"/>
    <col min="6" max="6" width="9.140625" customWidth="1"/>
    <col min="7" max="7" width="11.140625" style="3" customWidth="1"/>
    <col min="8" max="10" width="15.7109375" customWidth="1"/>
    <col min="11" max="12" width="11.7109375" customWidth="1"/>
    <col min="13" max="13" width="54.140625" customWidth="1"/>
  </cols>
  <sheetData>
    <row r="1" spans="2:13" ht="120" customHeight="1">
      <c r="B1" s="166"/>
      <c r="C1" s="167"/>
      <c r="D1" s="167"/>
      <c r="E1" s="167"/>
      <c r="F1" s="167"/>
      <c r="G1" s="167"/>
      <c r="H1" s="167"/>
      <c r="I1" s="167"/>
      <c r="J1" s="168"/>
    </row>
    <row r="2" spans="2:13" s="38" customFormat="1" ht="24.95" customHeight="1">
      <c r="B2" s="169" t="s">
        <v>108</v>
      </c>
      <c r="C2" s="170"/>
      <c r="D2" s="170"/>
      <c r="E2" s="170"/>
      <c r="F2" s="170"/>
      <c r="G2" s="170"/>
      <c r="H2" s="170"/>
      <c r="I2" s="170"/>
      <c r="J2" s="171"/>
      <c r="M2" s="96" t="s">
        <v>212</v>
      </c>
    </row>
    <row r="3" spans="2:13" s="38" customFormat="1" ht="20.100000000000001" customHeight="1">
      <c r="B3" s="65" t="s">
        <v>113</v>
      </c>
      <c r="C3" s="66"/>
      <c r="D3" s="66"/>
      <c r="E3" s="71"/>
      <c r="F3" s="161" t="s">
        <v>241</v>
      </c>
      <c r="G3" s="162"/>
      <c r="H3" s="163"/>
      <c r="I3" s="162" t="s">
        <v>110</v>
      </c>
      <c r="J3" s="180"/>
      <c r="M3" s="97">
        <f>J58/(1+I8)</f>
        <v>57012.540972087758</v>
      </c>
    </row>
    <row r="4" spans="2:13" s="38" customFormat="1">
      <c r="B4" s="190" t="s">
        <v>172</v>
      </c>
      <c r="C4" s="191"/>
      <c r="D4" s="191"/>
      <c r="E4" s="192"/>
      <c r="F4" s="174" t="s">
        <v>271</v>
      </c>
      <c r="G4" s="175"/>
      <c r="H4" s="176"/>
      <c r="I4" s="181">
        <v>45406</v>
      </c>
      <c r="J4" s="182"/>
    </row>
    <row r="5" spans="2:13" s="38" customFormat="1">
      <c r="B5" s="65" t="s">
        <v>114</v>
      </c>
      <c r="C5" s="66"/>
      <c r="D5" s="66"/>
      <c r="E5" s="71"/>
      <c r="F5" s="174" t="s">
        <v>270</v>
      </c>
      <c r="G5" s="175"/>
      <c r="H5" s="176"/>
      <c r="I5" s="162" t="s">
        <v>111</v>
      </c>
      <c r="J5" s="180"/>
    </row>
    <row r="6" spans="2:13" s="69" customFormat="1">
      <c r="B6" s="142" t="s">
        <v>268</v>
      </c>
      <c r="C6" s="68"/>
      <c r="D6" s="68"/>
      <c r="E6" s="72"/>
      <c r="F6" s="174"/>
      <c r="G6" s="175"/>
      <c r="H6" s="176"/>
      <c r="I6" s="183">
        <f t="array" ref="I6">IF(B4=VLOOKUP('P. O.'!B4:B4,DADOS!B:F,1,0),VLOOKUP('P. O.'!B4:B4,DADOS!B:F,5,0),0)</f>
        <v>0.05</v>
      </c>
      <c r="J6" s="184"/>
    </row>
    <row r="7" spans="2:13" s="38" customFormat="1">
      <c r="B7" s="65" t="s">
        <v>115</v>
      </c>
      <c r="C7" s="66"/>
      <c r="D7" s="66"/>
      <c r="E7" s="66"/>
      <c r="F7" s="161" t="s">
        <v>112</v>
      </c>
      <c r="G7" s="162"/>
      <c r="H7" s="163"/>
      <c r="I7" s="161" t="s">
        <v>109</v>
      </c>
      <c r="J7" s="180"/>
      <c r="K7" s="64"/>
      <c r="L7" s="64"/>
    </row>
    <row r="8" spans="2:13" s="69" customFormat="1" ht="15.75" thickBot="1">
      <c r="B8" s="143" t="s">
        <v>269</v>
      </c>
      <c r="C8" s="74"/>
      <c r="D8" s="74"/>
      <c r="E8" s="75"/>
      <c r="F8" s="187" t="s">
        <v>189</v>
      </c>
      <c r="G8" s="188"/>
      <c r="H8" s="189"/>
      <c r="I8" s="185">
        <f>BDI!C26</f>
        <v>0.23213294482685121</v>
      </c>
      <c r="J8" s="186"/>
      <c r="K8" s="70"/>
      <c r="L8" s="70"/>
    </row>
    <row r="9" spans="2:13" ht="9.9499999999999993" customHeight="1"/>
    <row r="10" spans="2:13" ht="35.1" customHeight="1">
      <c r="B10" s="60" t="s">
        <v>0</v>
      </c>
      <c r="C10" s="60" t="s">
        <v>107</v>
      </c>
      <c r="D10" s="60" t="s">
        <v>1</v>
      </c>
      <c r="E10" s="60" t="s">
        <v>2</v>
      </c>
      <c r="F10" s="60" t="s">
        <v>3</v>
      </c>
      <c r="G10" s="61" t="s">
        <v>4</v>
      </c>
      <c r="H10" s="61" t="s">
        <v>60</v>
      </c>
      <c r="I10" s="61" t="s">
        <v>61</v>
      </c>
      <c r="J10" s="61" t="s">
        <v>5</v>
      </c>
      <c r="K10" s="1"/>
      <c r="L10" s="1"/>
      <c r="M10" s="94" t="s">
        <v>211</v>
      </c>
    </row>
    <row r="11" spans="2:13" ht="24.95" customHeight="1">
      <c r="B11" s="54">
        <v>1</v>
      </c>
      <c r="C11" s="54"/>
      <c r="D11" s="55"/>
      <c r="E11" s="56" t="s">
        <v>21</v>
      </c>
      <c r="F11" s="56"/>
      <c r="G11" s="57"/>
      <c r="H11" s="57"/>
      <c r="I11" s="58"/>
      <c r="J11" s="59">
        <f>SUM(J12:J12)</f>
        <v>1708.35</v>
      </c>
      <c r="K11" s="1"/>
      <c r="L11" s="1"/>
      <c r="M11" s="95"/>
    </row>
    <row r="12" spans="2:13" ht="55.5" customHeight="1">
      <c r="B12" s="50" t="s">
        <v>6</v>
      </c>
      <c r="C12" s="50" t="s">
        <v>272</v>
      </c>
      <c r="D12" s="51" t="s">
        <v>218</v>
      </c>
      <c r="E12" s="52" t="s">
        <v>219</v>
      </c>
      <c r="F12" s="51" t="s">
        <v>22</v>
      </c>
      <c r="G12" s="49">
        <v>1</v>
      </c>
      <c r="H12" s="49">
        <v>1386.5</v>
      </c>
      <c r="I12" s="49">
        <f>ROUND(H12*(1+$I$8),2)</f>
        <v>1708.35</v>
      </c>
      <c r="J12" s="53">
        <f>ROUND(I12*G12,2)</f>
        <v>1708.35</v>
      </c>
      <c r="K12" s="1"/>
      <c r="L12" s="1"/>
      <c r="M12" s="95"/>
    </row>
    <row r="13" spans="2:13" ht="24.95" customHeight="1">
      <c r="B13" s="54">
        <v>2</v>
      </c>
      <c r="C13" s="54"/>
      <c r="D13" s="55"/>
      <c r="E13" s="56" t="s">
        <v>273</v>
      </c>
      <c r="F13" s="56"/>
      <c r="G13" s="57"/>
      <c r="H13" s="57"/>
      <c r="I13" s="58"/>
      <c r="J13" s="59">
        <f>SUM(J14:J15)</f>
        <v>6611.2000000000007</v>
      </c>
      <c r="K13" s="1"/>
      <c r="L13" s="1"/>
      <c r="M13" s="95"/>
    </row>
    <row r="14" spans="2:13" ht="30" customHeight="1">
      <c r="B14" s="50" t="s">
        <v>8</v>
      </c>
      <c r="C14" s="50" t="s">
        <v>223</v>
      </c>
      <c r="D14" s="51" t="s">
        <v>220</v>
      </c>
      <c r="E14" s="52" t="s">
        <v>221</v>
      </c>
      <c r="F14" s="51" t="s">
        <v>222</v>
      </c>
      <c r="G14" s="49">
        <f>2*4*2*2</f>
        <v>32</v>
      </c>
      <c r="H14" s="49" t="s">
        <v>317</v>
      </c>
      <c r="I14" s="49">
        <f t="shared" ref="I14:I17" si="0">ROUND(H14*(1+$I$8),2)</f>
        <v>145.4</v>
      </c>
      <c r="J14" s="53">
        <f>ROUND(I14*G14,2)</f>
        <v>4652.8</v>
      </c>
      <c r="K14" s="1"/>
      <c r="L14" s="1"/>
      <c r="M14" s="95"/>
    </row>
    <row r="15" spans="2:13" ht="30" customHeight="1">
      <c r="B15" s="50" t="s">
        <v>303</v>
      </c>
      <c r="C15" s="50" t="s">
        <v>223</v>
      </c>
      <c r="D15" s="51" t="s">
        <v>274</v>
      </c>
      <c r="E15" s="52" t="s">
        <v>275</v>
      </c>
      <c r="F15" s="51" t="s">
        <v>222</v>
      </c>
      <c r="G15" s="49">
        <f>G14</f>
        <v>32</v>
      </c>
      <c r="H15" s="49" t="s">
        <v>318</v>
      </c>
      <c r="I15" s="49">
        <f t="shared" ref="I15" si="1">ROUND(H15*(1+$I$8),2)</f>
        <v>61.2</v>
      </c>
      <c r="J15" s="53">
        <f>ROUND(I15*G15,2)</f>
        <v>1958.4</v>
      </c>
      <c r="K15" s="1"/>
      <c r="L15" s="1"/>
      <c r="M15" s="95"/>
    </row>
    <row r="16" spans="2:13" ht="24.95" customHeight="1">
      <c r="B16" s="54">
        <v>3</v>
      </c>
      <c r="C16" s="54"/>
      <c r="D16" s="55"/>
      <c r="E16" s="56" t="s">
        <v>24</v>
      </c>
      <c r="F16" s="56"/>
      <c r="G16" s="57"/>
      <c r="H16" s="57"/>
      <c r="I16" s="58"/>
      <c r="J16" s="59">
        <f>SUM(J17:J22)</f>
        <v>1115.6699999999998</v>
      </c>
      <c r="K16" s="1"/>
      <c r="L16" s="1"/>
      <c r="M16" s="95"/>
    </row>
    <row r="17" spans="2:13" ht="34.5" customHeight="1">
      <c r="B17" s="50" t="s">
        <v>10</v>
      </c>
      <c r="C17" s="50" t="s">
        <v>272</v>
      </c>
      <c r="D17" s="51" t="s">
        <v>276</v>
      </c>
      <c r="E17" s="52" t="s">
        <v>277</v>
      </c>
      <c r="F17" s="51" t="s">
        <v>25</v>
      </c>
      <c r="G17" s="49">
        <f>0.15*(4*0.1*3+2*0.14*3+0.12*3+0.1*3+3*0.3*3)</f>
        <v>0.81</v>
      </c>
      <c r="H17" s="49">
        <v>151.07</v>
      </c>
      <c r="I17" s="49">
        <f t="shared" si="0"/>
        <v>186.14</v>
      </c>
      <c r="J17" s="53">
        <f t="shared" ref="J17" si="2">ROUND(I17*G17,2)</f>
        <v>150.77000000000001</v>
      </c>
      <c r="K17" s="1"/>
      <c r="L17" s="1"/>
      <c r="M17" s="95"/>
    </row>
    <row r="18" spans="2:13" ht="45.75" customHeight="1">
      <c r="B18" s="50" t="s">
        <v>11</v>
      </c>
      <c r="C18" s="50" t="s">
        <v>272</v>
      </c>
      <c r="D18" s="51" t="s">
        <v>278</v>
      </c>
      <c r="E18" s="52" t="s">
        <v>279</v>
      </c>
      <c r="F18" s="51" t="s">
        <v>22</v>
      </c>
      <c r="G18" s="49">
        <v>2</v>
      </c>
      <c r="H18" s="49">
        <v>42.44</v>
      </c>
      <c r="I18" s="49">
        <f t="shared" ref="I18:I22" si="3">ROUND(H18*(1+$I$8),2)</f>
        <v>52.29</v>
      </c>
      <c r="J18" s="53">
        <f t="shared" ref="J18:J22" si="4">ROUND(I18*G18,2)</f>
        <v>104.58</v>
      </c>
      <c r="K18" s="1"/>
      <c r="L18" s="1"/>
      <c r="M18" s="95"/>
    </row>
    <row r="19" spans="2:13" ht="45.75" customHeight="1">
      <c r="B19" s="50" t="s">
        <v>304</v>
      </c>
      <c r="C19" s="50" t="s">
        <v>272</v>
      </c>
      <c r="D19" s="51" t="s">
        <v>280</v>
      </c>
      <c r="E19" s="52" t="s">
        <v>281</v>
      </c>
      <c r="F19" s="51" t="s">
        <v>23</v>
      </c>
      <c r="G19" s="49">
        <f>4*0.8*2.08+2*0.66*2.08+0.68*2.07+0.8*2.08+3*0.6*2.09</f>
        <v>16.235199999999999</v>
      </c>
      <c r="H19" s="49">
        <v>13.29</v>
      </c>
      <c r="I19" s="49">
        <f t="shared" si="3"/>
        <v>16.38</v>
      </c>
      <c r="J19" s="53">
        <f t="shared" si="4"/>
        <v>265.93</v>
      </c>
      <c r="K19" s="1"/>
      <c r="L19" s="1"/>
      <c r="M19" s="95"/>
    </row>
    <row r="20" spans="2:13" ht="45.75" customHeight="1">
      <c r="B20" s="50" t="s">
        <v>305</v>
      </c>
      <c r="C20" s="50" t="s">
        <v>272</v>
      </c>
      <c r="D20" s="51" t="s">
        <v>64</v>
      </c>
      <c r="E20" s="52" t="s">
        <v>227</v>
      </c>
      <c r="F20" s="51" t="s">
        <v>23</v>
      </c>
      <c r="G20" s="49">
        <v>10</v>
      </c>
      <c r="H20" s="49">
        <v>20.48</v>
      </c>
      <c r="I20" s="49">
        <f t="shared" si="3"/>
        <v>25.23</v>
      </c>
      <c r="J20" s="53">
        <f t="shared" si="4"/>
        <v>252.3</v>
      </c>
      <c r="K20" s="1"/>
      <c r="L20" s="1"/>
      <c r="M20" s="95"/>
    </row>
    <row r="21" spans="2:13" ht="30" customHeight="1">
      <c r="B21" s="50" t="s">
        <v>306</v>
      </c>
      <c r="C21" s="50" t="s">
        <v>272</v>
      </c>
      <c r="D21" s="51" t="s">
        <v>224</v>
      </c>
      <c r="E21" s="52" t="s">
        <v>225</v>
      </c>
      <c r="F21" s="51" t="s">
        <v>25</v>
      </c>
      <c r="G21" s="49">
        <f>G17+G19*0.05+G20*0.1</f>
        <v>2.6217600000000001</v>
      </c>
      <c r="H21" s="49">
        <v>39.9</v>
      </c>
      <c r="I21" s="49">
        <f t="shared" si="3"/>
        <v>49.16</v>
      </c>
      <c r="J21" s="53">
        <f t="shared" si="4"/>
        <v>128.88999999999999</v>
      </c>
      <c r="K21" s="1"/>
      <c r="L21" s="1"/>
      <c r="M21" s="95"/>
    </row>
    <row r="22" spans="2:13" ht="30" customHeight="1">
      <c r="B22" s="50" t="s">
        <v>307</v>
      </c>
      <c r="C22" s="50" t="s">
        <v>272</v>
      </c>
      <c r="D22" s="51" t="s">
        <v>65</v>
      </c>
      <c r="E22" s="52" t="s">
        <v>226</v>
      </c>
      <c r="F22" s="51" t="s">
        <v>25</v>
      </c>
      <c r="G22" s="49">
        <f>G21</f>
        <v>2.6217600000000001</v>
      </c>
      <c r="H22" s="49">
        <v>66</v>
      </c>
      <c r="I22" s="49">
        <f t="shared" si="3"/>
        <v>81.319999999999993</v>
      </c>
      <c r="J22" s="53">
        <f t="shared" si="4"/>
        <v>213.2</v>
      </c>
      <c r="K22" s="1"/>
      <c r="L22" s="1"/>
      <c r="M22" s="95"/>
    </row>
    <row r="23" spans="2:13" ht="24.95" customHeight="1">
      <c r="B23" s="54">
        <v>4</v>
      </c>
      <c r="C23" s="54"/>
      <c r="D23" s="55"/>
      <c r="E23" s="56" t="s">
        <v>27</v>
      </c>
      <c r="F23" s="56"/>
      <c r="G23" s="57"/>
      <c r="H23" s="57"/>
      <c r="I23" s="58"/>
      <c r="J23" s="59">
        <f>SUM(J24:J28)</f>
        <v>1222.21</v>
      </c>
      <c r="K23" s="1"/>
      <c r="L23" s="1"/>
      <c r="M23" s="95"/>
    </row>
    <row r="24" spans="2:13" ht="34.5" customHeight="1">
      <c r="B24" s="50" t="s">
        <v>13</v>
      </c>
      <c r="C24" s="50" t="s">
        <v>272</v>
      </c>
      <c r="D24" s="51" t="s">
        <v>66</v>
      </c>
      <c r="E24" s="52" t="s">
        <v>49</v>
      </c>
      <c r="F24" s="51" t="s">
        <v>23</v>
      </c>
      <c r="G24" s="49">
        <f>3*(0.95+0.25+0.2)</f>
        <v>4.1999999999999993</v>
      </c>
      <c r="H24" s="49">
        <v>49.17</v>
      </c>
      <c r="I24" s="49">
        <f t="shared" ref="I24:I26" si="5">ROUND(H24*(1+$I$8),2)</f>
        <v>60.58</v>
      </c>
      <c r="J24" s="53">
        <f t="shared" ref="J24:J56" si="6">ROUND(I24*G24,2)</f>
        <v>254.44</v>
      </c>
      <c r="K24" s="1"/>
      <c r="L24" s="1"/>
      <c r="M24" s="95"/>
    </row>
    <row r="25" spans="2:13" ht="45.75" customHeight="1">
      <c r="B25" s="50" t="s">
        <v>14</v>
      </c>
      <c r="C25" s="50" t="s">
        <v>272</v>
      </c>
      <c r="D25" s="51" t="s">
        <v>67</v>
      </c>
      <c r="E25" s="52" t="s">
        <v>229</v>
      </c>
      <c r="F25" s="51" t="s">
        <v>23</v>
      </c>
      <c r="G25" s="49">
        <f>2*G24</f>
        <v>8.3999999999999986</v>
      </c>
      <c r="H25" s="49">
        <v>9.14</v>
      </c>
      <c r="I25" s="49">
        <f t="shared" si="5"/>
        <v>11.26</v>
      </c>
      <c r="J25" s="53">
        <f t="shared" si="6"/>
        <v>94.58</v>
      </c>
      <c r="K25" s="1"/>
      <c r="L25" s="1"/>
      <c r="M25" s="95"/>
    </row>
    <row r="26" spans="2:13" ht="34.5" customHeight="1">
      <c r="B26" s="50" t="s">
        <v>228</v>
      </c>
      <c r="C26" s="50" t="s">
        <v>272</v>
      </c>
      <c r="D26" s="51" t="s">
        <v>68</v>
      </c>
      <c r="E26" s="52" t="s">
        <v>230</v>
      </c>
      <c r="F26" s="51" t="s">
        <v>23</v>
      </c>
      <c r="G26" s="49">
        <f>G25</f>
        <v>8.3999999999999986</v>
      </c>
      <c r="H26" s="49">
        <v>32.82</v>
      </c>
      <c r="I26" s="49">
        <f t="shared" si="5"/>
        <v>40.44</v>
      </c>
      <c r="J26" s="53">
        <f t="shared" si="6"/>
        <v>339.7</v>
      </c>
      <c r="K26" s="1"/>
      <c r="L26" s="1"/>
      <c r="M26" s="95"/>
    </row>
    <row r="27" spans="2:13" ht="34.5" customHeight="1">
      <c r="B27" s="50" t="s">
        <v>257</v>
      </c>
      <c r="C27" s="50" t="s">
        <v>272</v>
      </c>
      <c r="D27" s="51" t="s">
        <v>69</v>
      </c>
      <c r="E27" s="52" t="s">
        <v>231</v>
      </c>
      <c r="F27" s="51" t="s">
        <v>23</v>
      </c>
      <c r="G27" s="49">
        <f>G26</f>
        <v>8.3999999999999986</v>
      </c>
      <c r="H27" s="49">
        <v>30.78</v>
      </c>
      <c r="I27" s="49">
        <f t="shared" ref="I27:I32" si="7">ROUND(H27*(1+$I$8),2)</f>
        <v>37.93</v>
      </c>
      <c r="J27" s="53">
        <f t="shared" si="6"/>
        <v>318.61</v>
      </c>
      <c r="K27" s="1"/>
      <c r="L27" s="1"/>
      <c r="M27" s="95"/>
    </row>
    <row r="28" spans="2:13" ht="34.5" customHeight="1">
      <c r="B28" s="50" t="s">
        <v>258</v>
      </c>
      <c r="C28" s="50" t="s">
        <v>272</v>
      </c>
      <c r="D28" s="51" t="s">
        <v>282</v>
      </c>
      <c r="E28" s="52" t="s">
        <v>283</v>
      </c>
      <c r="F28" s="51" t="s">
        <v>23</v>
      </c>
      <c r="G28" s="49">
        <f>1.95*1.5-0.9*1.5+0.2*1.5</f>
        <v>1.8749999999999998</v>
      </c>
      <c r="H28" s="49">
        <v>93.01</v>
      </c>
      <c r="I28" s="49">
        <f t="shared" si="7"/>
        <v>114.6</v>
      </c>
      <c r="J28" s="53">
        <f t="shared" si="6"/>
        <v>214.88</v>
      </c>
      <c r="K28" s="1"/>
      <c r="L28" s="1"/>
      <c r="M28" s="95"/>
    </row>
    <row r="29" spans="2:13" ht="24.95" customHeight="1">
      <c r="B29" s="54">
        <v>5</v>
      </c>
      <c r="C29" s="54"/>
      <c r="D29" s="55"/>
      <c r="E29" s="56" t="s">
        <v>284</v>
      </c>
      <c r="F29" s="56"/>
      <c r="G29" s="57"/>
      <c r="H29" s="57"/>
      <c r="I29" s="58"/>
      <c r="J29" s="59">
        <f>SUM(J30)</f>
        <v>1435.43</v>
      </c>
      <c r="K29" s="1"/>
      <c r="L29" s="1"/>
      <c r="M29" s="95"/>
    </row>
    <row r="30" spans="2:13" ht="45.75" customHeight="1">
      <c r="B30" s="50" t="s">
        <v>16</v>
      </c>
      <c r="C30" s="50" t="s">
        <v>272</v>
      </c>
      <c r="D30" s="51" t="s">
        <v>70</v>
      </c>
      <c r="E30" s="52" t="s">
        <v>50</v>
      </c>
      <c r="F30" s="51" t="s">
        <v>23</v>
      </c>
      <c r="G30" s="49">
        <f>10+2.73</f>
        <v>12.73</v>
      </c>
      <c r="H30" s="49">
        <v>91.52</v>
      </c>
      <c r="I30" s="49">
        <f t="shared" si="7"/>
        <v>112.76</v>
      </c>
      <c r="J30" s="53">
        <f t="shared" si="6"/>
        <v>1435.43</v>
      </c>
      <c r="K30" s="1"/>
      <c r="L30" s="1"/>
      <c r="M30" s="95"/>
    </row>
    <row r="31" spans="2:13" ht="24.95" customHeight="1">
      <c r="B31" s="54">
        <v>6</v>
      </c>
      <c r="C31" s="54"/>
      <c r="D31" s="55"/>
      <c r="E31" s="56" t="s">
        <v>35</v>
      </c>
      <c r="F31" s="56"/>
      <c r="G31" s="57"/>
      <c r="H31" s="57"/>
      <c r="I31" s="58"/>
      <c r="J31" s="59">
        <f>SUM(J32:J34)</f>
        <v>1263.28</v>
      </c>
      <c r="K31" s="1"/>
      <c r="L31" s="1"/>
      <c r="M31" s="95"/>
    </row>
    <row r="32" spans="2:13" ht="55.5" customHeight="1">
      <c r="B32" s="50" t="s">
        <v>28</v>
      </c>
      <c r="C32" s="50" t="s">
        <v>272</v>
      </c>
      <c r="D32" s="51" t="s">
        <v>71</v>
      </c>
      <c r="E32" s="52" t="s">
        <v>83</v>
      </c>
      <c r="F32" s="51" t="s">
        <v>22</v>
      </c>
      <c r="G32" s="49">
        <v>3</v>
      </c>
      <c r="H32" s="49">
        <v>136.25</v>
      </c>
      <c r="I32" s="49">
        <f t="shared" si="7"/>
        <v>167.88</v>
      </c>
      <c r="J32" s="53">
        <f t="shared" si="6"/>
        <v>503.64</v>
      </c>
      <c r="K32" s="1"/>
      <c r="L32" s="1"/>
      <c r="M32" s="95"/>
    </row>
    <row r="33" spans="2:13" ht="55.5" customHeight="1">
      <c r="B33" s="50" t="s">
        <v>29</v>
      </c>
      <c r="C33" s="50" t="s">
        <v>272</v>
      </c>
      <c r="D33" s="51" t="s">
        <v>72</v>
      </c>
      <c r="E33" s="52" t="s">
        <v>322</v>
      </c>
      <c r="F33" s="51" t="s">
        <v>22</v>
      </c>
      <c r="G33" s="49">
        <v>2</v>
      </c>
      <c r="H33" s="49">
        <v>155.46</v>
      </c>
      <c r="I33" s="49">
        <f t="shared" ref="I33:I34" si="8">ROUND(H33*(1+$I$8),2)</f>
        <v>191.55</v>
      </c>
      <c r="J33" s="53">
        <f t="shared" ref="J33:J34" si="9">ROUND(I33*G33,2)</f>
        <v>383.1</v>
      </c>
      <c r="K33" s="1"/>
      <c r="L33" s="1"/>
      <c r="M33" s="95"/>
    </row>
    <row r="34" spans="2:13" ht="45.75" customHeight="1">
      <c r="B34" s="50" t="s">
        <v>308</v>
      </c>
      <c r="C34" s="50" t="s">
        <v>272</v>
      </c>
      <c r="D34" s="51" t="s">
        <v>73</v>
      </c>
      <c r="E34" s="52" t="s">
        <v>323</v>
      </c>
      <c r="F34" s="51" t="s">
        <v>22</v>
      </c>
      <c r="G34" s="49">
        <v>1</v>
      </c>
      <c r="H34" s="49">
        <v>305.60000000000002</v>
      </c>
      <c r="I34" s="49">
        <f t="shared" si="8"/>
        <v>376.54</v>
      </c>
      <c r="J34" s="53">
        <f t="shared" si="9"/>
        <v>376.54</v>
      </c>
      <c r="K34" s="1"/>
      <c r="L34" s="1"/>
      <c r="M34" s="95"/>
    </row>
    <row r="35" spans="2:13" ht="24.95" customHeight="1">
      <c r="B35" s="54">
        <v>7</v>
      </c>
      <c r="C35" s="54"/>
      <c r="D35" s="55"/>
      <c r="E35" s="56" t="s">
        <v>42</v>
      </c>
      <c r="F35" s="56"/>
      <c r="G35" s="57"/>
      <c r="H35" s="57"/>
      <c r="I35" s="58"/>
      <c r="J35" s="59">
        <f>SUM(J36:J46)</f>
        <v>4275.4799999999996</v>
      </c>
      <c r="K35" s="1"/>
      <c r="L35" s="1"/>
      <c r="M35" s="95"/>
    </row>
    <row r="36" spans="2:13" ht="55.5" customHeight="1">
      <c r="B36" s="50" t="s">
        <v>31</v>
      </c>
      <c r="C36" s="50" t="s">
        <v>272</v>
      </c>
      <c r="D36" s="51" t="s">
        <v>285</v>
      </c>
      <c r="E36" s="52" t="s">
        <v>286</v>
      </c>
      <c r="F36" s="51" t="s">
        <v>22</v>
      </c>
      <c r="G36" s="49">
        <v>1</v>
      </c>
      <c r="H36" s="49">
        <v>462.51</v>
      </c>
      <c r="I36" s="49">
        <f t="shared" ref="I36" si="10">ROUND(H36*(1+$I$8),2)</f>
        <v>569.87</v>
      </c>
      <c r="J36" s="53">
        <f t="shared" ref="J36" si="11">ROUND(I36*G36,2)</f>
        <v>569.87</v>
      </c>
      <c r="K36" s="1"/>
      <c r="L36" s="1"/>
      <c r="M36" s="95"/>
    </row>
    <row r="37" spans="2:13" ht="45.75" customHeight="1">
      <c r="B37" s="50" t="s">
        <v>32</v>
      </c>
      <c r="C37" s="50" t="s">
        <v>223</v>
      </c>
      <c r="D37" s="51" t="s">
        <v>287</v>
      </c>
      <c r="E37" s="52" t="s">
        <v>288</v>
      </c>
      <c r="F37" s="51" t="s">
        <v>22</v>
      </c>
      <c r="G37" s="49">
        <v>1</v>
      </c>
      <c r="H37" s="49" t="s">
        <v>319</v>
      </c>
      <c r="I37" s="49">
        <f t="shared" ref="I37:I46" si="12">ROUND(H37*(1+$I$8),2)</f>
        <v>1011.63</v>
      </c>
      <c r="J37" s="53">
        <f t="shared" ref="J37:J46" si="13">ROUND(I37*G37,2)</f>
        <v>1011.63</v>
      </c>
      <c r="K37" s="1"/>
      <c r="L37" s="1"/>
      <c r="M37" s="95"/>
    </row>
    <row r="38" spans="2:13" ht="34.5" customHeight="1">
      <c r="B38" s="50" t="s">
        <v>232</v>
      </c>
      <c r="C38" s="50" t="s">
        <v>223</v>
      </c>
      <c r="D38" s="51" t="s">
        <v>289</v>
      </c>
      <c r="E38" s="52" t="s">
        <v>290</v>
      </c>
      <c r="F38" s="51" t="s">
        <v>22</v>
      </c>
      <c r="G38" s="49">
        <v>1</v>
      </c>
      <c r="H38" s="49" t="s">
        <v>320</v>
      </c>
      <c r="I38" s="49">
        <f t="shared" si="12"/>
        <v>426.88</v>
      </c>
      <c r="J38" s="53">
        <f t="shared" si="13"/>
        <v>426.88</v>
      </c>
      <c r="K38" s="1"/>
      <c r="L38" s="1"/>
      <c r="M38" s="95"/>
    </row>
    <row r="39" spans="2:13" ht="30" customHeight="1">
      <c r="B39" s="50" t="s">
        <v>309</v>
      </c>
      <c r="C39" s="50" t="s">
        <v>272</v>
      </c>
      <c r="D39" s="51" t="s">
        <v>74</v>
      </c>
      <c r="E39" s="52" t="s">
        <v>48</v>
      </c>
      <c r="F39" s="51" t="s">
        <v>22</v>
      </c>
      <c r="G39" s="49">
        <v>1</v>
      </c>
      <c r="H39" s="49">
        <v>187.47</v>
      </c>
      <c r="I39" s="49">
        <f t="shared" si="12"/>
        <v>230.99</v>
      </c>
      <c r="J39" s="53">
        <f t="shared" si="13"/>
        <v>230.99</v>
      </c>
      <c r="K39" s="1"/>
      <c r="L39" s="1"/>
      <c r="M39" s="95"/>
    </row>
    <row r="40" spans="2:13" ht="45.75" customHeight="1">
      <c r="B40" s="50" t="s">
        <v>310</v>
      </c>
      <c r="C40" s="50" t="s">
        <v>272</v>
      </c>
      <c r="D40" s="51" t="s">
        <v>75</v>
      </c>
      <c r="E40" s="52" t="s">
        <v>233</v>
      </c>
      <c r="F40" s="51" t="s">
        <v>22</v>
      </c>
      <c r="G40" s="49">
        <v>1</v>
      </c>
      <c r="H40" s="49">
        <v>132.05000000000001</v>
      </c>
      <c r="I40" s="49">
        <f t="shared" si="12"/>
        <v>162.69999999999999</v>
      </c>
      <c r="J40" s="53">
        <f t="shared" si="13"/>
        <v>162.69999999999999</v>
      </c>
      <c r="K40" s="1"/>
      <c r="L40" s="1"/>
      <c r="M40" s="95"/>
    </row>
    <row r="41" spans="2:13" ht="45.75" customHeight="1">
      <c r="B41" s="50" t="s">
        <v>311</v>
      </c>
      <c r="C41" s="50" t="s">
        <v>272</v>
      </c>
      <c r="D41" s="51" t="s">
        <v>291</v>
      </c>
      <c r="E41" s="52" t="s">
        <v>292</v>
      </c>
      <c r="F41" s="51" t="s">
        <v>22</v>
      </c>
      <c r="G41" s="49">
        <v>2</v>
      </c>
      <c r="H41" s="49">
        <v>137.94999999999999</v>
      </c>
      <c r="I41" s="49">
        <f t="shared" si="12"/>
        <v>169.97</v>
      </c>
      <c r="J41" s="53">
        <f t="shared" si="13"/>
        <v>339.94</v>
      </c>
      <c r="K41" s="1"/>
      <c r="L41" s="1"/>
      <c r="M41" s="95"/>
    </row>
    <row r="42" spans="2:13" ht="45.75" customHeight="1">
      <c r="B42" s="50" t="s">
        <v>312</v>
      </c>
      <c r="C42" s="50" t="s">
        <v>272</v>
      </c>
      <c r="D42" s="51" t="s">
        <v>293</v>
      </c>
      <c r="E42" s="52" t="s">
        <v>294</v>
      </c>
      <c r="F42" s="51" t="s">
        <v>22</v>
      </c>
      <c r="G42" s="49">
        <v>1</v>
      </c>
      <c r="H42" s="49">
        <v>183.09</v>
      </c>
      <c r="I42" s="49">
        <f t="shared" si="12"/>
        <v>225.59</v>
      </c>
      <c r="J42" s="53">
        <f t="shared" si="13"/>
        <v>225.59</v>
      </c>
      <c r="K42" s="1"/>
      <c r="L42" s="1"/>
      <c r="M42" s="95"/>
    </row>
    <row r="43" spans="2:13" ht="45.75" customHeight="1">
      <c r="B43" s="50" t="s">
        <v>313</v>
      </c>
      <c r="C43" s="50" t="s">
        <v>272</v>
      </c>
      <c r="D43" s="51" t="s">
        <v>77</v>
      </c>
      <c r="E43" s="52" t="s">
        <v>54</v>
      </c>
      <c r="F43" s="51" t="s">
        <v>22</v>
      </c>
      <c r="G43" s="49">
        <v>2</v>
      </c>
      <c r="H43" s="49">
        <v>230.82</v>
      </c>
      <c r="I43" s="49">
        <f t="shared" si="12"/>
        <v>284.39999999999998</v>
      </c>
      <c r="J43" s="53">
        <f t="shared" si="13"/>
        <v>568.79999999999995</v>
      </c>
      <c r="K43" s="1"/>
      <c r="L43" s="1"/>
      <c r="M43" s="95"/>
    </row>
    <row r="44" spans="2:13" ht="30" customHeight="1">
      <c r="B44" s="50" t="s">
        <v>314</v>
      </c>
      <c r="C44" s="50" t="s">
        <v>223</v>
      </c>
      <c r="D44" s="51" t="s">
        <v>295</v>
      </c>
      <c r="E44" s="52" t="s">
        <v>296</v>
      </c>
      <c r="F44" s="51" t="s">
        <v>22</v>
      </c>
      <c r="G44" s="49">
        <v>1</v>
      </c>
      <c r="H44" s="49" t="s">
        <v>321</v>
      </c>
      <c r="I44" s="49">
        <f t="shared" si="12"/>
        <v>434.97</v>
      </c>
      <c r="J44" s="53">
        <f t="shared" si="13"/>
        <v>434.97</v>
      </c>
      <c r="K44" s="1"/>
      <c r="L44" s="1"/>
      <c r="M44" s="95"/>
    </row>
    <row r="45" spans="2:13" ht="45.75" customHeight="1">
      <c r="B45" s="50" t="s">
        <v>315</v>
      </c>
      <c r="C45" s="50" t="s">
        <v>272</v>
      </c>
      <c r="D45" s="51" t="s">
        <v>297</v>
      </c>
      <c r="E45" s="52" t="s">
        <v>298</v>
      </c>
      <c r="F45" s="51" t="s">
        <v>22</v>
      </c>
      <c r="G45" s="49">
        <v>1</v>
      </c>
      <c r="H45" s="49">
        <v>163.6</v>
      </c>
      <c r="I45" s="49">
        <f t="shared" si="12"/>
        <v>201.58</v>
      </c>
      <c r="J45" s="53">
        <f t="shared" si="13"/>
        <v>201.58</v>
      </c>
      <c r="K45" s="1"/>
      <c r="L45" s="1"/>
      <c r="M45" s="95"/>
    </row>
    <row r="46" spans="2:13" ht="34.5" customHeight="1">
      <c r="B46" s="50" t="s">
        <v>316</v>
      </c>
      <c r="C46" s="50" t="s">
        <v>272</v>
      </c>
      <c r="D46" s="51" t="s">
        <v>76</v>
      </c>
      <c r="E46" s="52" t="s">
        <v>234</v>
      </c>
      <c r="F46" s="51" t="s">
        <v>22</v>
      </c>
      <c r="G46" s="49">
        <v>1</v>
      </c>
      <c r="H46" s="49">
        <v>83.21</v>
      </c>
      <c r="I46" s="49">
        <f t="shared" si="12"/>
        <v>102.53</v>
      </c>
      <c r="J46" s="53">
        <f t="shared" si="13"/>
        <v>102.53</v>
      </c>
      <c r="K46" s="1"/>
      <c r="L46" s="1"/>
      <c r="M46" s="95"/>
    </row>
    <row r="47" spans="2:13" ht="24.95" customHeight="1">
      <c r="B47" s="54">
        <v>8</v>
      </c>
      <c r="C47" s="54"/>
      <c r="D47" s="55"/>
      <c r="E47" s="56" t="s">
        <v>44</v>
      </c>
      <c r="F47" s="56"/>
      <c r="G47" s="57"/>
      <c r="H47" s="57"/>
      <c r="I47" s="58"/>
      <c r="J47" s="59">
        <f>SUM(J48)</f>
        <v>14773.77</v>
      </c>
      <c r="K47" s="1"/>
      <c r="L47" s="1"/>
      <c r="M47" s="95"/>
    </row>
    <row r="48" spans="2:13" ht="30" customHeight="1">
      <c r="B48" s="50" t="s">
        <v>36</v>
      </c>
      <c r="C48" s="50" t="s">
        <v>272</v>
      </c>
      <c r="D48" s="8" t="s">
        <v>78</v>
      </c>
      <c r="E48" s="144" t="s">
        <v>235</v>
      </c>
      <c r="F48" s="8" t="s">
        <v>22</v>
      </c>
      <c r="G48" s="145">
        <f>4+2+1+1+3</f>
        <v>11</v>
      </c>
      <c r="H48" s="145">
        <v>1090.04</v>
      </c>
      <c r="I48" s="49">
        <f>ROUND(H48*(1+$I$8),2)</f>
        <v>1343.07</v>
      </c>
      <c r="J48" s="53">
        <f t="shared" si="6"/>
        <v>14773.77</v>
      </c>
      <c r="K48" s="1"/>
      <c r="L48" s="1"/>
      <c r="M48" s="95"/>
    </row>
    <row r="49" spans="2:13" ht="24.95" customHeight="1">
      <c r="B49" s="54">
        <v>9</v>
      </c>
      <c r="C49" s="54"/>
      <c r="D49" s="55"/>
      <c r="E49" s="56" t="s">
        <v>45</v>
      </c>
      <c r="F49" s="56"/>
      <c r="G49" s="57"/>
      <c r="H49" s="57"/>
      <c r="I49" s="58"/>
      <c r="J49" s="59">
        <f>SUM(J50:J53)</f>
        <v>31015.999999999996</v>
      </c>
      <c r="K49" s="1"/>
      <c r="L49" s="1"/>
      <c r="M49" s="95"/>
    </row>
    <row r="50" spans="2:13" ht="30" customHeight="1">
      <c r="B50" s="50" t="s">
        <v>37</v>
      </c>
      <c r="C50" s="50" t="s">
        <v>272</v>
      </c>
      <c r="D50" s="51" t="s">
        <v>299</v>
      </c>
      <c r="E50" s="52" t="s">
        <v>300</v>
      </c>
      <c r="F50" s="51" t="s">
        <v>23</v>
      </c>
      <c r="G50" s="49">
        <f>896.28+G27-G28</f>
        <v>902.80499999999995</v>
      </c>
      <c r="H50" s="49">
        <v>3.07</v>
      </c>
      <c r="I50" s="49">
        <f>ROUND(H50*(1+$I$8),2)</f>
        <v>3.78</v>
      </c>
      <c r="J50" s="53">
        <f>ROUND(I50*G50,2)</f>
        <v>3412.6</v>
      </c>
      <c r="K50" s="1"/>
      <c r="L50" s="1"/>
      <c r="M50" s="95"/>
    </row>
    <row r="51" spans="2:13" ht="34.5" customHeight="1">
      <c r="B51" s="50" t="s">
        <v>38</v>
      </c>
      <c r="C51" s="50" t="s">
        <v>272</v>
      </c>
      <c r="D51" s="51" t="s">
        <v>79</v>
      </c>
      <c r="E51" s="52" t="s">
        <v>51</v>
      </c>
      <c r="F51" s="51" t="s">
        <v>23</v>
      </c>
      <c r="G51" s="49">
        <f>506.33+G27-G28</f>
        <v>512.85500000000002</v>
      </c>
      <c r="H51" s="49">
        <v>28.67</v>
      </c>
      <c r="I51" s="49">
        <f>ROUND(H51*(1+$I$8),2)</f>
        <v>35.33</v>
      </c>
      <c r="J51" s="53">
        <f>ROUND(I51*G51,2)</f>
        <v>18119.169999999998</v>
      </c>
      <c r="K51" s="1"/>
      <c r="L51" s="1"/>
      <c r="M51" s="95"/>
    </row>
    <row r="52" spans="2:13" ht="34.5" customHeight="1">
      <c r="B52" s="50" t="s">
        <v>39</v>
      </c>
      <c r="C52" s="50" t="s">
        <v>272</v>
      </c>
      <c r="D52" s="51" t="s">
        <v>80</v>
      </c>
      <c r="E52" s="52" t="s">
        <v>52</v>
      </c>
      <c r="F52" s="51" t="s">
        <v>23</v>
      </c>
      <c r="G52" s="49">
        <v>389.95</v>
      </c>
      <c r="H52" s="49">
        <v>16.47</v>
      </c>
      <c r="I52" s="49">
        <f>ROUND(H52*(1+$I$8),2)</f>
        <v>20.29</v>
      </c>
      <c r="J52" s="53">
        <f t="shared" si="6"/>
        <v>7912.09</v>
      </c>
      <c r="K52" s="1"/>
      <c r="L52" s="1"/>
      <c r="M52" s="95"/>
    </row>
    <row r="53" spans="2:13" ht="34.5" customHeight="1">
      <c r="B53" s="50" t="s">
        <v>40</v>
      </c>
      <c r="C53" s="50" t="s">
        <v>272</v>
      </c>
      <c r="D53" s="51" t="s">
        <v>81</v>
      </c>
      <c r="E53" s="52" t="s">
        <v>53</v>
      </c>
      <c r="F53" s="51" t="s">
        <v>23</v>
      </c>
      <c r="G53" s="49">
        <f>2*G48*0.9*2.1</f>
        <v>41.580000000000005</v>
      </c>
      <c r="H53" s="49">
        <v>30.69</v>
      </c>
      <c r="I53" s="49">
        <f>ROUND(H53*(1+$I$8),2)</f>
        <v>37.81</v>
      </c>
      <c r="J53" s="53">
        <f t="shared" si="6"/>
        <v>1572.14</v>
      </c>
      <c r="K53" s="1"/>
      <c r="L53" s="1"/>
      <c r="M53" s="95"/>
    </row>
    <row r="54" spans="2:13" ht="24.95" customHeight="1">
      <c r="B54" s="54">
        <v>10</v>
      </c>
      <c r="C54" s="54"/>
      <c r="D54" s="55"/>
      <c r="E54" s="56" t="s">
        <v>46</v>
      </c>
      <c r="F54" s="56"/>
      <c r="G54" s="57"/>
      <c r="H54" s="57"/>
      <c r="I54" s="58"/>
      <c r="J54" s="59">
        <f>SUM(J55:J56)</f>
        <v>6825.6399999999994</v>
      </c>
      <c r="K54" s="1"/>
      <c r="L54" s="1"/>
      <c r="M54" s="95"/>
    </row>
    <row r="55" spans="2:13" ht="30" customHeight="1">
      <c r="B55" s="50" t="s">
        <v>43</v>
      </c>
      <c r="C55" s="50" t="s">
        <v>272</v>
      </c>
      <c r="D55" s="51" t="s">
        <v>82</v>
      </c>
      <c r="E55" s="52" t="s">
        <v>55</v>
      </c>
      <c r="F55" s="51" t="s">
        <v>23</v>
      </c>
      <c r="G55" s="49">
        <f>21.92*14.5</f>
        <v>317.84000000000003</v>
      </c>
      <c r="H55" s="49">
        <v>7.36</v>
      </c>
      <c r="I55" s="49">
        <f>ROUND(H55*(1+$I$8),2)</f>
        <v>9.07</v>
      </c>
      <c r="J55" s="53">
        <f t="shared" si="6"/>
        <v>2882.81</v>
      </c>
      <c r="K55" s="1"/>
      <c r="L55" s="1"/>
      <c r="M55" s="95"/>
    </row>
    <row r="56" spans="2:13" ht="30" customHeight="1">
      <c r="B56" s="50" t="s">
        <v>47</v>
      </c>
      <c r="C56" s="50" t="s">
        <v>301</v>
      </c>
      <c r="D56" s="146" t="s">
        <v>63</v>
      </c>
      <c r="E56" s="52" t="s">
        <v>302</v>
      </c>
      <c r="F56" s="51" t="s">
        <v>22</v>
      </c>
      <c r="G56" s="49">
        <v>1</v>
      </c>
      <c r="H56" s="49">
        <v>3200</v>
      </c>
      <c r="I56" s="49">
        <f>ROUND(H56*(1+$I$8),2)</f>
        <v>3942.83</v>
      </c>
      <c r="J56" s="53">
        <f t="shared" si="6"/>
        <v>3942.83</v>
      </c>
      <c r="K56" s="1"/>
      <c r="L56" s="1"/>
      <c r="M56" s="95"/>
    </row>
    <row r="57" spans="2:13" ht="3.75" customHeight="1">
      <c r="B57" s="172"/>
      <c r="C57" s="172"/>
      <c r="D57" s="172"/>
      <c r="E57" s="172"/>
      <c r="F57" s="172"/>
      <c r="G57" s="172"/>
      <c r="H57" s="172"/>
      <c r="I57" s="172"/>
      <c r="J57" s="173"/>
      <c r="K57" s="1"/>
      <c r="L57" s="1"/>
    </row>
    <row r="58" spans="2:13" ht="32.25" customHeight="1">
      <c r="B58" s="177"/>
      <c r="C58" s="178"/>
      <c r="D58" s="178"/>
      <c r="E58" s="178"/>
      <c r="F58" s="178"/>
      <c r="G58" s="178"/>
      <c r="H58" s="179"/>
      <c r="I58" s="48" t="s">
        <v>59</v>
      </c>
      <c r="J58" s="37">
        <f>J11+J13+J16+J23+J29+J31+J35+J47+J49+J54</f>
        <v>70247.03</v>
      </c>
      <c r="K58" s="1"/>
      <c r="L58" s="1"/>
    </row>
    <row r="59" spans="2:13" ht="83.25" customHeight="1">
      <c r="B59" s="6" t="s">
        <v>56</v>
      </c>
      <c r="C59" s="6"/>
      <c r="D59" s="7"/>
      <c r="E59" s="6"/>
      <c r="F59" s="7"/>
      <c r="G59" s="24" t="s">
        <v>56</v>
      </c>
      <c r="H59" s="7"/>
      <c r="I59" s="6"/>
      <c r="J59" s="7"/>
    </row>
    <row r="60" spans="2:13">
      <c r="B60" s="7" t="str">
        <f t="array" ref="B60">PROPER(IF(B4=VLOOKUP('P. O.'!B4:B4,DADOS!B:F,1,0),B4,0))</f>
        <v>Prefeitura Municipal De Santos Dumont</v>
      </c>
      <c r="C60" s="7"/>
      <c r="G60" s="164" t="s">
        <v>57</v>
      </c>
      <c r="H60" s="164"/>
      <c r="I60" s="164"/>
      <c r="J60" s="164"/>
    </row>
    <row r="61" spans="2:13">
      <c r="B61" t="str">
        <f t="array" ref="B61">PROPER(IF(B4=VLOOKUP('P. O.'!B4:B4,DADOS!B:D,1,0),VLOOKUP('P. O.'!B4:B4,DADOS!B:D,3,0),0))</f>
        <v>Carlos Alberto De Azevedo</v>
      </c>
      <c r="C61" s="4"/>
      <c r="G61" s="165" t="s">
        <v>58</v>
      </c>
      <c r="H61" s="165"/>
      <c r="I61" s="165"/>
      <c r="J61" s="165"/>
    </row>
    <row r="62" spans="2:13">
      <c r="B62" t="str">
        <f t="array" ref="B62">PROPER(IF(B4=VLOOKUP('P. O.'!B4:B4,DADOS!B:D,1,0),VLOOKUP('P. O.'!B4:B4,DADOS!B:D,2,0),0))</f>
        <v>Prefeito Municipal De Santos Dumont</v>
      </c>
      <c r="C62" s="4"/>
      <c r="G62" s="165" t="str">
        <f>IF(G61=DADOS!AS7,"Engenheira Civil","Engenheiro Civil")</f>
        <v>Engenheiro Civil</v>
      </c>
      <c r="H62" s="165"/>
      <c r="I62" s="165"/>
      <c r="J62" s="165"/>
    </row>
    <row r="63" spans="2:13">
      <c r="B63" s="4"/>
      <c r="C63" s="4"/>
      <c r="D63" s="1"/>
      <c r="E63" s="1"/>
      <c r="G63" s="165" t="str" cm="1">
        <f t="array" ref="G63">IF(G61=VLOOKUP('P. O.'!G61:G61,DADOS!AS:AT,1,0),VLOOKUP('P. O.'!G61:G61,DADOS!AS:AT,2,0),0)</f>
        <v>CREA-MG 59.552/D</v>
      </c>
      <c r="H63" s="165"/>
      <c r="I63" s="165"/>
      <c r="J63" s="165"/>
    </row>
    <row r="64" spans="2:13">
      <c r="B64" s="1"/>
      <c r="C64" s="1"/>
      <c r="E64" s="1"/>
      <c r="I64" s="1"/>
    </row>
    <row r="65" spans="2:9">
      <c r="D65" s="1"/>
      <c r="H65" s="2"/>
      <c r="I65" s="2"/>
    </row>
    <row r="66" spans="2:9">
      <c r="B66" s="4"/>
      <c r="C66" s="4"/>
      <c r="D66" s="1"/>
      <c r="E66" s="1"/>
      <c r="H66" s="2"/>
      <c r="I66" s="2"/>
    </row>
  </sheetData>
  <sheetProtection selectLockedCells="1" selectUnlockedCells="1"/>
  <mergeCells count="21">
    <mergeCell ref="B1:J1"/>
    <mergeCell ref="B2:J2"/>
    <mergeCell ref="B57:J57"/>
    <mergeCell ref="F5:H5"/>
    <mergeCell ref="B58:H58"/>
    <mergeCell ref="F3:H3"/>
    <mergeCell ref="I3:J3"/>
    <mergeCell ref="I4:J4"/>
    <mergeCell ref="I5:J5"/>
    <mergeCell ref="I6:J6"/>
    <mergeCell ref="I7:J7"/>
    <mergeCell ref="I8:J8"/>
    <mergeCell ref="F8:H8"/>
    <mergeCell ref="F6:H6"/>
    <mergeCell ref="F4:H4"/>
    <mergeCell ref="B4:E4"/>
    <mergeCell ref="F7:H7"/>
    <mergeCell ref="G60:J60"/>
    <mergeCell ref="G61:J61"/>
    <mergeCell ref="G62:J62"/>
    <mergeCell ref="G63:J63"/>
  </mergeCells>
  <phoneticPr fontId="44" type="noConversion"/>
  <pageMargins left="0.47244094488188981" right="0.35433070866141736" top="0.43307086614173229" bottom="0.35433070866141736" header="0.43307086614173229" footer="0.35433070866141736"/>
  <pageSetup paperSize="9" scale="74" firstPageNumber="0" fitToHeight="0" orientation="landscape" horizontalDpi="360" verticalDpi="360" r:id="rId1"/>
  <headerFooter alignWithMargins="0"/>
  <drawing r:id="rId2"/>
  <legacyDrawing r:id="rId3"/>
  <extLst xmlns:xr="http://schemas.microsoft.com/office/spreadsheetml/2014/revision" xmlns:x14="http://schemas.microsoft.com/office/spreadsheetml/2009/9/main">
    <ext uri="{CCE6A557-97BC-4b89-ADB6-D9C93CAAB3DF}">
      <x14:dataValidations xmlns:xm="http://schemas.microsoft.com/office/excel/2006/main" count="3">
        <x14:dataValidation type="list" allowBlank="1" showInputMessage="1" showErrorMessage="1" xr:uid="{20E4895E-43D1-4A74-9F3B-622C5D0BCFE3}">
          <x14:formula1>
            <xm:f>DADOS!$AM$10:$AM$11</xm:f>
          </x14:formula1>
          <xm:sqref>F8:H8</xm:sqref>
        </x14:dataValidation>
        <x14:dataValidation type="list" allowBlank="1" showInputMessage="1" showErrorMessage="1" xr:uid="{00000000-0002-0000-0200-000000000000}">
          <x14:formula1>
            <xm:f>DADOS!$B$2:$B$20</xm:f>
          </x14:formula1>
          <xm:sqref>B4:E4</xm:sqref>
        </x14:dataValidation>
        <x14:dataValidation type="list" allowBlank="1" showInputMessage="1" showErrorMessage="1" xr:uid="{9DF098C8-7515-469C-B67E-17A8D4651E4A}">
          <x14:formula1>
            <xm:f>DADOS!$AS$3:$AS$7</xm:f>
          </x14:formula1>
          <xm:sqref>G61</xm:sqref>
        </x14:dataValidation>
      </x14:dataValidations>
    </ext>
  </extLst>
</worksheet>
</file>

<file path=xl/worksheets/sheet4.xml><?xml version="1.0" encoding="utf-8"?>
<worksheet xmlns="http://schemas.openxmlformats.org/spreadsheetml/2006/main" xmlns:r="http://schemas.openxmlformats.org/officeDocument/2006/relationships">
  <dimension ref="B1:M65"/>
  <sheetViews>
    <sheetView view="pageBreakPreview" topLeftCell="A46" zoomScaleSheetLayoutView="100" workbookViewId="0">
      <selection activeCell="B1" sqref="B1:J1"/>
    </sheetView>
  </sheetViews>
  <sheetFormatPr defaultRowHeight="15"/>
  <cols>
    <col min="2" max="2" width="9.140625" customWidth="1"/>
    <col min="3" max="4" width="12.7109375" customWidth="1"/>
    <col min="5" max="5" width="77.5703125" customWidth="1"/>
    <col min="6" max="6" width="9.140625" customWidth="1"/>
    <col min="7" max="7" width="11.140625" style="3" customWidth="1"/>
    <col min="8" max="10" width="15.7109375" customWidth="1"/>
    <col min="11" max="12" width="11.7109375" customWidth="1"/>
    <col min="13" max="13" width="54.140625" customWidth="1"/>
  </cols>
  <sheetData>
    <row r="1" spans="2:13" ht="120" customHeight="1">
      <c r="B1" s="166"/>
      <c r="C1" s="167"/>
      <c r="D1" s="167"/>
      <c r="E1" s="167"/>
      <c r="F1" s="167"/>
      <c r="G1" s="167"/>
      <c r="H1" s="167"/>
      <c r="I1" s="167"/>
      <c r="J1" s="168"/>
    </row>
    <row r="2" spans="2:13" s="38" customFormat="1" ht="24.95" customHeight="1">
      <c r="B2" s="169" t="s">
        <v>108</v>
      </c>
      <c r="C2" s="170"/>
      <c r="D2" s="170"/>
      <c r="E2" s="170"/>
      <c r="F2" s="170"/>
      <c r="G2" s="170"/>
      <c r="H2" s="170"/>
      <c r="I2" s="170"/>
      <c r="J2" s="171"/>
      <c r="M2" s="96" t="s">
        <v>212</v>
      </c>
    </row>
    <row r="3" spans="2:13" s="38" customFormat="1" ht="20.100000000000001" customHeight="1">
      <c r="B3" s="65" t="s">
        <v>113</v>
      </c>
      <c r="C3" s="66"/>
      <c r="D3" s="66"/>
      <c r="E3" s="71"/>
      <c r="F3" s="161" t="s">
        <v>241</v>
      </c>
      <c r="G3" s="162"/>
      <c r="H3" s="163"/>
      <c r="I3" s="162" t="s">
        <v>110</v>
      </c>
      <c r="J3" s="180"/>
      <c r="M3" s="97" t="e">
        <f>#REF!/(1+I8)</f>
        <v>#REF!</v>
      </c>
    </row>
    <row r="4" spans="2:13" s="38" customFormat="1">
      <c r="B4" s="190" t="s">
        <v>172</v>
      </c>
      <c r="C4" s="191"/>
      <c r="D4" s="191"/>
      <c r="E4" s="192"/>
      <c r="F4" s="174" t="s">
        <v>271</v>
      </c>
      <c r="G4" s="175"/>
      <c r="H4" s="176"/>
      <c r="I4" s="181">
        <v>45406</v>
      </c>
      <c r="J4" s="182"/>
    </row>
    <row r="5" spans="2:13" s="38" customFormat="1">
      <c r="B5" s="65" t="s">
        <v>114</v>
      </c>
      <c r="C5" s="66"/>
      <c r="D5" s="66"/>
      <c r="E5" s="71"/>
      <c r="F5" s="174" t="s">
        <v>270</v>
      </c>
      <c r="G5" s="175"/>
      <c r="H5" s="176"/>
      <c r="I5" s="162" t="s">
        <v>111</v>
      </c>
      <c r="J5" s="180"/>
    </row>
    <row r="6" spans="2:13" s="69" customFormat="1">
      <c r="B6" s="142" t="s">
        <v>268</v>
      </c>
      <c r="C6" s="68"/>
      <c r="D6" s="68"/>
      <c r="E6" s="72"/>
      <c r="F6" s="174"/>
      <c r="G6" s="175"/>
      <c r="H6" s="176"/>
      <c r="I6" s="183">
        <f t="array" ref="I6">IF(B4=VLOOKUP(CÁLCULO!B4:B4,DADOS!B:F,1,0),VLOOKUP(CÁLCULO!B4:B4,DADOS!B:F,5,0),0)</f>
        <v>0.05</v>
      </c>
      <c r="J6" s="184"/>
    </row>
    <row r="7" spans="2:13" s="38" customFormat="1">
      <c r="B7" s="65" t="s">
        <v>115</v>
      </c>
      <c r="C7" s="66"/>
      <c r="D7" s="66"/>
      <c r="E7" s="66"/>
      <c r="F7" s="161" t="s">
        <v>112</v>
      </c>
      <c r="G7" s="162"/>
      <c r="H7" s="163"/>
      <c r="I7" s="161" t="s">
        <v>109</v>
      </c>
      <c r="J7" s="180"/>
      <c r="K7" s="64"/>
      <c r="L7" s="64"/>
    </row>
    <row r="8" spans="2:13" s="69" customFormat="1" ht="15.75" thickBot="1">
      <c r="B8" s="143" t="s">
        <v>269</v>
      </c>
      <c r="C8" s="74"/>
      <c r="D8" s="74"/>
      <c r="E8" s="75"/>
      <c r="F8" s="187" t="s">
        <v>189</v>
      </c>
      <c r="G8" s="188"/>
      <c r="H8" s="189"/>
      <c r="I8" s="185">
        <f>BDI!C26</f>
        <v>0.23213294482685121</v>
      </c>
      <c r="J8" s="186"/>
      <c r="K8" s="70"/>
      <c r="L8" s="70"/>
    </row>
    <row r="9" spans="2:13" ht="9.9499999999999993" customHeight="1"/>
    <row r="10" spans="2:13" ht="35.1" customHeight="1">
      <c r="B10" s="60" t="s">
        <v>0</v>
      </c>
      <c r="C10" s="60" t="s">
        <v>107</v>
      </c>
      <c r="D10" s="60" t="s">
        <v>1</v>
      </c>
      <c r="E10" s="60" t="s">
        <v>2</v>
      </c>
      <c r="F10" s="60" t="s">
        <v>3</v>
      </c>
      <c r="G10" s="61" t="s">
        <v>4</v>
      </c>
      <c r="H10" s="199"/>
      <c r="I10" s="200"/>
      <c r="J10" s="201"/>
      <c r="K10" s="1"/>
      <c r="L10" s="1"/>
      <c r="M10" s="94" t="s">
        <v>211</v>
      </c>
    </row>
    <row r="11" spans="2:13" ht="24.95" customHeight="1">
      <c r="B11" s="54">
        <v>1</v>
      </c>
      <c r="C11" s="54"/>
      <c r="D11" s="55"/>
      <c r="E11" s="56" t="s">
        <v>21</v>
      </c>
      <c r="F11" s="56"/>
      <c r="G11" s="57"/>
      <c r="H11" s="193"/>
      <c r="I11" s="194"/>
      <c r="J11" s="195"/>
      <c r="K11" s="1"/>
      <c r="L11" s="1"/>
      <c r="M11" s="95"/>
    </row>
    <row r="12" spans="2:13" ht="55.5" customHeight="1">
      <c r="B12" s="50" t="s">
        <v>6</v>
      </c>
      <c r="C12" s="50" t="s">
        <v>272</v>
      </c>
      <c r="D12" s="51" t="s">
        <v>218</v>
      </c>
      <c r="E12" s="52" t="s">
        <v>219</v>
      </c>
      <c r="F12" s="51" t="s">
        <v>22</v>
      </c>
      <c r="G12" s="49">
        <v>1</v>
      </c>
      <c r="H12" s="196">
        <v>1</v>
      </c>
      <c r="I12" s="197"/>
      <c r="J12" s="198"/>
      <c r="K12" s="1"/>
      <c r="L12" s="1"/>
      <c r="M12" s="95"/>
    </row>
    <row r="13" spans="2:13" ht="24.95" customHeight="1">
      <c r="B13" s="54">
        <v>2</v>
      </c>
      <c r="C13" s="54"/>
      <c r="D13" s="55"/>
      <c r="E13" s="56" t="s">
        <v>273</v>
      </c>
      <c r="F13" s="56"/>
      <c r="G13" s="57"/>
      <c r="H13" s="193"/>
      <c r="I13" s="194"/>
      <c r="J13" s="195"/>
      <c r="K13" s="1"/>
      <c r="L13" s="1"/>
      <c r="M13" s="95"/>
    </row>
    <row r="14" spans="2:13" ht="30" customHeight="1">
      <c r="B14" s="50" t="s">
        <v>8</v>
      </c>
      <c r="C14" s="50" t="s">
        <v>223</v>
      </c>
      <c r="D14" s="51" t="s">
        <v>220</v>
      </c>
      <c r="E14" s="52" t="s">
        <v>221</v>
      </c>
      <c r="F14" s="51" t="s">
        <v>222</v>
      </c>
      <c r="G14" s="49">
        <f>2*4*2*2</f>
        <v>32</v>
      </c>
      <c r="H14" s="196" t="e">
        <f ca="1">_xlfn.FORMULATEXT(G14)</f>
        <v>#NAME?</v>
      </c>
      <c r="I14" s="197"/>
      <c r="J14" s="198"/>
      <c r="K14" s="1"/>
      <c r="L14" s="1"/>
      <c r="M14" s="95"/>
    </row>
    <row r="15" spans="2:13" ht="30" customHeight="1">
      <c r="B15" s="50" t="s">
        <v>303</v>
      </c>
      <c r="C15" s="50" t="s">
        <v>223</v>
      </c>
      <c r="D15" s="51" t="s">
        <v>274</v>
      </c>
      <c r="E15" s="52" t="s">
        <v>275</v>
      </c>
      <c r="F15" s="51" t="s">
        <v>222</v>
      </c>
      <c r="G15" s="49">
        <f>G14</f>
        <v>32</v>
      </c>
      <c r="H15" s="196">
        <f>32</f>
        <v>32</v>
      </c>
      <c r="I15" s="197"/>
      <c r="J15" s="198"/>
      <c r="K15" s="1"/>
      <c r="L15" s="1"/>
      <c r="M15" s="95"/>
    </row>
    <row r="16" spans="2:13" ht="24.95" customHeight="1">
      <c r="B16" s="54">
        <v>3</v>
      </c>
      <c r="C16" s="54"/>
      <c r="D16" s="55"/>
      <c r="E16" s="56" t="s">
        <v>24</v>
      </c>
      <c r="F16" s="56"/>
      <c r="G16" s="57"/>
      <c r="H16" s="193"/>
      <c r="I16" s="194"/>
      <c r="J16" s="195"/>
      <c r="K16" s="1"/>
      <c r="L16" s="1"/>
      <c r="M16" s="95"/>
    </row>
    <row r="17" spans="2:13" ht="34.5" customHeight="1">
      <c r="B17" s="50" t="s">
        <v>10</v>
      </c>
      <c r="C17" s="50" t="s">
        <v>272</v>
      </c>
      <c r="D17" s="51" t="s">
        <v>276</v>
      </c>
      <c r="E17" s="52" t="s">
        <v>277</v>
      </c>
      <c r="F17" s="51" t="s">
        <v>25</v>
      </c>
      <c r="G17" s="49">
        <f>0.15*(4*0.1*3+2*0.14*3+0.12*3+0.1*3+3*0.3*3)</f>
        <v>0.81</v>
      </c>
      <c r="H17" s="196" t="e">
        <f ca="1">_xlfn.FORMULATEXT(G17)</f>
        <v>#NAME?</v>
      </c>
      <c r="I17" s="197"/>
      <c r="J17" s="198"/>
      <c r="K17" s="1"/>
      <c r="L17" s="1"/>
      <c r="M17" s="95"/>
    </row>
    <row r="18" spans="2:13" ht="45.75" customHeight="1">
      <c r="B18" s="50" t="s">
        <v>11</v>
      </c>
      <c r="C18" s="50" t="s">
        <v>272</v>
      </c>
      <c r="D18" s="51" t="s">
        <v>278</v>
      </c>
      <c r="E18" s="52" t="s">
        <v>279</v>
      </c>
      <c r="F18" s="51" t="s">
        <v>22</v>
      </c>
      <c r="G18" s="49">
        <v>2</v>
      </c>
      <c r="H18" s="196">
        <v>2</v>
      </c>
      <c r="I18" s="197"/>
      <c r="J18" s="198"/>
      <c r="K18" s="1"/>
      <c r="L18" s="1"/>
      <c r="M18" s="95"/>
    </row>
    <row r="19" spans="2:13" ht="45.75" customHeight="1">
      <c r="B19" s="50" t="s">
        <v>304</v>
      </c>
      <c r="C19" s="50" t="s">
        <v>272</v>
      </c>
      <c r="D19" s="51" t="s">
        <v>280</v>
      </c>
      <c r="E19" s="52" t="s">
        <v>281</v>
      </c>
      <c r="F19" s="51" t="s">
        <v>23</v>
      </c>
      <c r="G19" s="49">
        <f>4*0.8*2.08+2*0.66*2.08+0.68*2.07+0.8*2.08+3*0.6*2.09</f>
        <v>16.235199999999999</v>
      </c>
      <c r="H19" s="196" t="e">
        <f t="shared" ref="H19:H30" ca="1" si="0">_xlfn.FORMULATEXT(G19)</f>
        <v>#NAME?</v>
      </c>
      <c r="I19" s="197"/>
      <c r="J19" s="198"/>
      <c r="K19" s="1"/>
      <c r="L19" s="1"/>
      <c r="M19" s="95"/>
    </row>
    <row r="20" spans="2:13" ht="45.75" customHeight="1">
      <c r="B20" s="50" t="s">
        <v>305</v>
      </c>
      <c r="C20" s="50" t="s">
        <v>272</v>
      </c>
      <c r="D20" s="51" t="s">
        <v>64</v>
      </c>
      <c r="E20" s="52" t="s">
        <v>227</v>
      </c>
      <c r="F20" s="51" t="s">
        <v>23</v>
      </c>
      <c r="G20" s="49">
        <v>10</v>
      </c>
      <c r="H20" s="196">
        <v>10</v>
      </c>
      <c r="I20" s="197"/>
      <c r="J20" s="198"/>
      <c r="K20" s="1"/>
      <c r="L20" s="1"/>
      <c r="M20" s="95"/>
    </row>
    <row r="21" spans="2:13" ht="30" customHeight="1">
      <c r="B21" s="50" t="s">
        <v>306</v>
      </c>
      <c r="C21" s="50" t="s">
        <v>272</v>
      </c>
      <c r="D21" s="51" t="s">
        <v>224</v>
      </c>
      <c r="E21" s="52" t="s">
        <v>225</v>
      </c>
      <c r="F21" s="51" t="s">
        <v>25</v>
      </c>
      <c r="G21" s="49">
        <f>G17+G19*0.05+G20*0.1</f>
        <v>2.6217600000000001</v>
      </c>
      <c r="H21" s="196" t="s">
        <v>328</v>
      </c>
      <c r="I21" s="197"/>
      <c r="J21" s="198"/>
      <c r="K21" s="1"/>
      <c r="L21" s="1"/>
      <c r="M21" s="95"/>
    </row>
    <row r="22" spans="2:13" ht="30" customHeight="1">
      <c r="B22" s="50" t="s">
        <v>307</v>
      </c>
      <c r="C22" s="50" t="s">
        <v>272</v>
      </c>
      <c r="D22" s="51" t="s">
        <v>65</v>
      </c>
      <c r="E22" s="52" t="s">
        <v>226</v>
      </c>
      <c r="F22" s="51" t="s">
        <v>25</v>
      </c>
      <c r="G22" s="49">
        <f>G21</f>
        <v>2.6217600000000001</v>
      </c>
      <c r="H22" s="196">
        <v>2.62</v>
      </c>
      <c r="I22" s="197"/>
      <c r="J22" s="198"/>
      <c r="K22" s="1"/>
      <c r="L22" s="1"/>
      <c r="M22" s="95"/>
    </row>
    <row r="23" spans="2:13" ht="24.95" customHeight="1">
      <c r="B23" s="54">
        <v>4</v>
      </c>
      <c r="C23" s="54"/>
      <c r="D23" s="55"/>
      <c r="E23" s="56" t="s">
        <v>27</v>
      </c>
      <c r="F23" s="56"/>
      <c r="G23" s="57"/>
      <c r="H23" s="193"/>
      <c r="I23" s="194"/>
      <c r="J23" s="195"/>
      <c r="K23" s="1"/>
      <c r="L23" s="1"/>
      <c r="M23" s="95"/>
    </row>
    <row r="24" spans="2:13" ht="34.5" customHeight="1">
      <c r="B24" s="50" t="s">
        <v>13</v>
      </c>
      <c r="C24" s="50" t="s">
        <v>272</v>
      </c>
      <c r="D24" s="51" t="s">
        <v>66</v>
      </c>
      <c r="E24" s="52" t="s">
        <v>49</v>
      </c>
      <c r="F24" s="51" t="s">
        <v>23</v>
      </c>
      <c r="G24" s="49">
        <f>3*(0.95+0.25+0.2)</f>
        <v>4.1999999999999993</v>
      </c>
      <c r="H24" s="196" t="e">
        <f t="shared" ca="1" si="0"/>
        <v>#NAME?</v>
      </c>
      <c r="I24" s="197"/>
      <c r="J24" s="198"/>
      <c r="K24" s="1"/>
      <c r="L24" s="1"/>
      <c r="M24" s="95"/>
    </row>
    <row r="25" spans="2:13" ht="45.75" customHeight="1">
      <c r="B25" s="50" t="s">
        <v>14</v>
      </c>
      <c r="C25" s="50" t="s">
        <v>272</v>
      </c>
      <c r="D25" s="51" t="s">
        <v>67</v>
      </c>
      <c r="E25" s="52" t="s">
        <v>229</v>
      </c>
      <c r="F25" s="51" t="s">
        <v>23</v>
      </c>
      <c r="G25" s="49">
        <f>2*G24</f>
        <v>8.3999999999999986</v>
      </c>
      <c r="H25" s="196" t="s">
        <v>324</v>
      </c>
      <c r="I25" s="197"/>
      <c r="J25" s="198"/>
      <c r="K25" s="1"/>
      <c r="L25" s="1"/>
      <c r="M25" s="95"/>
    </row>
    <row r="26" spans="2:13" ht="34.5" customHeight="1">
      <c r="B26" s="50" t="s">
        <v>228</v>
      </c>
      <c r="C26" s="50" t="s">
        <v>272</v>
      </c>
      <c r="D26" s="51" t="s">
        <v>68</v>
      </c>
      <c r="E26" s="52" t="s">
        <v>230</v>
      </c>
      <c r="F26" s="51" t="s">
        <v>23</v>
      </c>
      <c r="G26" s="49">
        <f>G25</f>
        <v>8.3999999999999986</v>
      </c>
      <c r="H26" s="196" t="s">
        <v>324</v>
      </c>
      <c r="I26" s="197"/>
      <c r="J26" s="198"/>
      <c r="K26" s="1"/>
      <c r="L26" s="1"/>
      <c r="M26" s="95"/>
    </row>
    <row r="27" spans="2:13" ht="34.5" customHeight="1">
      <c r="B27" s="50" t="s">
        <v>257</v>
      </c>
      <c r="C27" s="50" t="s">
        <v>272</v>
      </c>
      <c r="D27" s="51" t="s">
        <v>69</v>
      </c>
      <c r="E27" s="52" t="s">
        <v>231</v>
      </c>
      <c r="F27" s="51" t="s">
        <v>23</v>
      </c>
      <c r="G27" s="49">
        <f>G26</f>
        <v>8.3999999999999986</v>
      </c>
      <c r="H27" s="196" t="s">
        <v>324</v>
      </c>
      <c r="I27" s="197"/>
      <c r="J27" s="198"/>
      <c r="K27" s="1"/>
      <c r="L27" s="1"/>
      <c r="M27" s="95"/>
    </row>
    <row r="28" spans="2:13" ht="34.5" customHeight="1">
      <c r="B28" s="50" t="s">
        <v>258</v>
      </c>
      <c r="C28" s="50" t="s">
        <v>272</v>
      </c>
      <c r="D28" s="51" t="s">
        <v>282</v>
      </c>
      <c r="E28" s="52" t="s">
        <v>283</v>
      </c>
      <c r="F28" s="51" t="s">
        <v>23</v>
      </c>
      <c r="G28" s="49">
        <f>1.95*1.5-0.9*1.5+0.2*1.5</f>
        <v>1.8749999999999998</v>
      </c>
      <c r="H28" s="196" t="e">
        <f t="shared" ca="1" si="0"/>
        <v>#NAME?</v>
      </c>
      <c r="I28" s="197"/>
      <c r="J28" s="198"/>
      <c r="K28" s="1"/>
      <c r="L28" s="1"/>
      <c r="M28" s="95"/>
    </row>
    <row r="29" spans="2:13" ht="24.95" customHeight="1">
      <c r="B29" s="54">
        <v>5</v>
      </c>
      <c r="C29" s="54"/>
      <c r="D29" s="55"/>
      <c r="E29" s="56" t="s">
        <v>284</v>
      </c>
      <c r="F29" s="56"/>
      <c r="G29" s="57"/>
      <c r="H29" s="193"/>
      <c r="I29" s="194"/>
      <c r="J29" s="195"/>
      <c r="K29" s="1"/>
      <c r="L29" s="1"/>
      <c r="M29" s="95"/>
    </row>
    <row r="30" spans="2:13" ht="45.75" customHeight="1">
      <c r="B30" s="50" t="s">
        <v>16</v>
      </c>
      <c r="C30" s="50" t="s">
        <v>272</v>
      </c>
      <c r="D30" s="51" t="s">
        <v>70</v>
      </c>
      <c r="E30" s="52" t="s">
        <v>50</v>
      </c>
      <c r="F30" s="51" t="s">
        <v>23</v>
      </c>
      <c r="G30" s="49">
        <f>10+2.73</f>
        <v>12.73</v>
      </c>
      <c r="H30" s="196" t="e">
        <f t="shared" ca="1" si="0"/>
        <v>#NAME?</v>
      </c>
      <c r="I30" s="197"/>
      <c r="J30" s="198"/>
      <c r="K30" s="1"/>
      <c r="L30" s="1"/>
      <c r="M30" s="95"/>
    </row>
    <row r="31" spans="2:13" ht="24.95" customHeight="1">
      <c r="B31" s="54">
        <v>6</v>
      </c>
      <c r="C31" s="54"/>
      <c r="D31" s="55"/>
      <c r="E31" s="56" t="s">
        <v>35</v>
      </c>
      <c r="F31" s="56"/>
      <c r="G31" s="57"/>
      <c r="H31" s="193"/>
      <c r="I31" s="194"/>
      <c r="J31" s="195"/>
      <c r="K31" s="1"/>
      <c r="L31" s="1"/>
      <c r="M31" s="95"/>
    </row>
    <row r="32" spans="2:13" ht="55.5" customHeight="1">
      <c r="B32" s="50" t="s">
        <v>28</v>
      </c>
      <c r="C32" s="50" t="s">
        <v>272</v>
      </c>
      <c r="D32" s="51" t="s">
        <v>71</v>
      </c>
      <c r="E32" s="52" t="s">
        <v>83</v>
      </c>
      <c r="F32" s="51" t="s">
        <v>22</v>
      </c>
      <c r="G32" s="49">
        <v>3</v>
      </c>
      <c r="H32" s="196">
        <v>3</v>
      </c>
      <c r="I32" s="197"/>
      <c r="J32" s="198"/>
      <c r="K32" s="1"/>
      <c r="L32" s="1"/>
      <c r="M32" s="95"/>
    </row>
    <row r="33" spans="2:13" ht="55.5" customHeight="1">
      <c r="B33" s="50" t="s">
        <v>29</v>
      </c>
      <c r="C33" s="50" t="s">
        <v>272</v>
      </c>
      <c r="D33" s="51" t="s">
        <v>72</v>
      </c>
      <c r="E33" s="52" t="s">
        <v>322</v>
      </c>
      <c r="F33" s="51" t="s">
        <v>22</v>
      </c>
      <c r="G33" s="49">
        <v>2</v>
      </c>
      <c r="H33" s="196">
        <v>2</v>
      </c>
      <c r="I33" s="197"/>
      <c r="J33" s="198"/>
      <c r="K33" s="1"/>
      <c r="L33" s="1"/>
      <c r="M33" s="95"/>
    </row>
    <row r="34" spans="2:13" ht="45.75" customHeight="1">
      <c r="B34" s="50" t="s">
        <v>308</v>
      </c>
      <c r="C34" s="50" t="s">
        <v>272</v>
      </c>
      <c r="D34" s="51" t="s">
        <v>73</v>
      </c>
      <c r="E34" s="52" t="s">
        <v>323</v>
      </c>
      <c r="F34" s="51" t="s">
        <v>22</v>
      </c>
      <c r="G34" s="49">
        <v>1</v>
      </c>
      <c r="H34" s="196">
        <v>1</v>
      </c>
      <c r="I34" s="197"/>
      <c r="J34" s="198"/>
      <c r="K34" s="1"/>
      <c r="L34" s="1"/>
      <c r="M34" s="95"/>
    </row>
    <row r="35" spans="2:13" ht="24.95" customHeight="1">
      <c r="B35" s="54">
        <v>7</v>
      </c>
      <c r="C35" s="54"/>
      <c r="D35" s="55"/>
      <c r="E35" s="56" t="s">
        <v>42</v>
      </c>
      <c r="F35" s="56"/>
      <c r="G35" s="57"/>
      <c r="H35" s="193"/>
      <c r="I35" s="194"/>
      <c r="J35" s="195"/>
      <c r="K35" s="1"/>
      <c r="L35" s="1"/>
      <c r="M35" s="95"/>
    </row>
    <row r="36" spans="2:13" ht="55.5" customHeight="1">
      <c r="B36" s="50" t="s">
        <v>31</v>
      </c>
      <c r="C36" s="50" t="s">
        <v>272</v>
      </c>
      <c r="D36" s="51" t="s">
        <v>285</v>
      </c>
      <c r="E36" s="52" t="s">
        <v>286</v>
      </c>
      <c r="F36" s="51" t="s">
        <v>22</v>
      </c>
      <c r="G36" s="49">
        <v>1</v>
      </c>
      <c r="H36" s="196">
        <v>1</v>
      </c>
      <c r="I36" s="197"/>
      <c r="J36" s="198"/>
      <c r="K36" s="1"/>
      <c r="L36" s="1"/>
      <c r="M36" s="95"/>
    </row>
    <row r="37" spans="2:13" ht="45.75" customHeight="1">
      <c r="B37" s="50" t="s">
        <v>32</v>
      </c>
      <c r="C37" s="50" t="s">
        <v>223</v>
      </c>
      <c r="D37" s="51" t="s">
        <v>287</v>
      </c>
      <c r="E37" s="52" t="s">
        <v>288</v>
      </c>
      <c r="F37" s="51" t="s">
        <v>22</v>
      </c>
      <c r="G37" s="49">
        <v>1</v>
      </c>
      <c r="H37" s="196">
        <v>1</v>
      </c>
      <c r="I37" s="197"/>
      <c r="J37" s="198"/>
      <c r="K37" s="1"/>
      <c r="L37" s="1"/>
      <c r="M37" s="95"/>
    </row>
    <row r="38" spans="2:13" ht="34.5" customHeight="1">
      <c r="B38" s="50" t="s">
        <v>232</v>
      </c>
      <c r="C38" s="50" t="s">
        <v>223</v>
      </c>
      <c r="D38" s="51" t="s">
        <v>289</v>
      </c>
      <c r="E38" s="52" t="s">
        <v>290</v>
      </c>
      <c r="F38" s="51" t="s">
        <v>22</v>
      </c>
      <c r="G38" s="49">
        <v>1</v>
      </c>
      <c r="H38" s="196">
        <v>1</v>
      </c>
      <c r="I38" s="197"/>
      <c r="J38" s="198"/>
      <c r="K38" s="1"/>
      <c r="L38" s="1"/>
      <c r="M38" s="95"/>
    </row>
    <row r="39" spans="2:13" ht="30" customHeight="1">
      <c r="B39" s="50" t="s">
        <v>309</v>
      </c>
      <c r="C39" s="50" t="s">
        <v>272</v>
      </c>
      <c r="D39" s="51" t="s">
        <v>74</v>
      </c>
      <c r="E39" s="52" t="s">
        <v>48</v>
      </c>
      <c r="F39" s="51" t="s">
        <v>22</v>
      </c>
      <c r="G39" s="49">
        <v>1</v>
      </c>
      <c r="H39" s="196">
        <v>1</v>
      </c>
      <c r="I39" s="197"/>
      <c r="J39" s="198"/>
      <c r="K39" s="1"/>
      <c r="L39" s="1"/>
      <c r="M39" s="95"/>
    </row>
    <row r="40" spans="2:13" ht="45.75" customHeight="1">
      <c r="B40" s="50" t="s">
        <v>310</v>
      </c>
      <c r="C40" s="50" t="s">
        <v>272</v>
      </c>
      <c r="D40" s="51" t="s">
        <v>75</v>
      </c>
      <c r="E40" s="52" t="s">
        <v>233</v>
      </c>
      <c r="F40" s="51" t="s">
        <v>22</v>
      </c>
      <c r="G40" s="49">
        <v>1</v>
      </c>
      <c r="H40" s="196">
        <v>1</v>
      </c>
      <c r="I40" s="197"/>
      <c r="J40" s="198"/>
      <c r="K40" s="1"/>
      <c r="L40" s="1"/>
      <c r="M40" s="95"/>
    </row>
    <row r="41" spans="2:13" ht="45.75" customHeight="1">
      <c r="B41" s="50" t="s">
        <v>311</v>
      </c>
      <c r="C41" s="50" t="s">
        <v>272</v>
      </c>
      <c r="D41" s="51" t="s">
        <v>291</v>
      </c>
      <c r="E41" s="52" t="s">
        <v>292</v>
      </c>
      <c r="F41" s="51" t="s">
        <v>22</v>
      </c>
      <c r="G41" s="49">
        <v>2</v>
      </c>
      <c r="H41" s="196">
        <v>2</v>
      </c>
      <c r="I41" s="197"/>
      <c r="J41" s="198"/>
      <c r="K41" s="1"/>
      <c r="L41" s="1"/>
      <c r="M41" s="95"/>
    </row>
    <row r="42" spans="2:13" ht="45.75" customHeight="1">
      <c r="B42" s="50" t="s">
        <v>312</v>
      </c>
      <c r="C42" s="50" t="s">
        <v>272</v>
      </c>
      <c r="D42" s="51" t="s">
        <v>293</v>
      </c>
      <c r="E42" s="52" t="s">
        <v>294</v>
      </c>
      <c r="F42" s="51" t="s">
        <v>22</v>
      </c>
      <c r="G42" s="49">
        <v>1</v>
      </c>
      <c r="H42" s="196">
        <v>1</v>
      </c>
      <c r="I42" s="197"/>
      <c r="J42" s="198"/>
      <c r="K42" s="1"/>
      <c r="L42" s="1"/>
      <c r="M42" s="95"/>
    </row>
    <row r="43" spans="2:13" ht="45.75" customHeight="1">
      <c r="B43" s="50" t="s">
        <v>313</v>
      </c>
      <c r="C43" s="50" t="s">
        <v>272</v>
      </c>
      <c r="D43" s="51" t="s">
        <v>77</v>
      </c>
      <c r="E43" s="52" t="s">
        <v>54</v>
      </c>
      <c r="F43" s="51" t="s">
        <v>22</v>
      </c>
      <c r="G43" s="49">
        <v>2</v>
      </c>
      <c r="H43" s="196">
        <v>2</v>
      </c>
      <c r="I43" s="197"/>
      <c r="J43" s="198"/>
      <c r="K43" s="1"/>
      <c r="L43" s="1"/>
      <c r="M43" s="95"/>
    </row>
    <row r="44" spans="2:13" ht="30" customHeight="1">
      <c r="B44" s="50" t="s">
        <v>314</v>
      </c>
      <c r="C44" s="50" t="s">
        <v>223</v>
      </c>
      <c r="D44" s="51" t="s">
        <v>295</v>
      </c>
      <c r="E44" s="52" t="s">
        <v>296</v>
      </c>
      <c r="F44" s="51" t="s">
        <v>22</v>
      </c>
      <c r="G44" s="49">
        <v>1</v>
      </c>
      <c r="H44" s="196">
        <v>1</v>
      </c>
      <c r="I44" s="197"/>
      <c r="J44" s="198"/>
      <c r="K44" s="1"/>
      <c r="L44" s="1"/>
      <c r="M44" s="95"/>
    </row>
    <row r="45" spans="2:13" ht="45.75" customHeight="1">
      <c r="B45" s="50" t="s">
        <v>315</v>
      </c>
      <c r="C45" s="50" t="s">
        <v>272</v>
      </c>
      <c r="D45" s="51" t="s">
        <v>297</v>
      </c>
      <c r="E45" s="52" t="s">
        <v>298</v>
      </c>
      <c r="F45" s="51" t="s">
        <v>22</v>
      </c>
      <c r="G45" s="49">
        <v>1</v>
      </c>
      <c r="H45" s="196">
        <v>1</v>
      </c>
      <c r="I45" s="197"/>
      <c r="J45" s="198"/>
      <c r="K45" s="1"/>
      <c r="L45" s="1"/>
      <c r="M45" s="95"/>
    </row>
    <row r="46" spans="2:13" ht="34.5" customHeight="1">
      <c r="B46" s="50" t="s">
        <v>316</v>
      </c>
      <c r="C46" s="50" t="s">
        <v>272</v>
      </c>
      <c r="D46" s="51" t="s">
        <v>76</v>
      </c>
      <c r="E46" s="52" t="s">
        <v>234</v>
      </c>
      <c r="F46" s="51" t="s">
        <v>22</v>
      </c>
      <c r="G46" s="49">
        <v>1</v>
      </c>
      <c r="H46" s="196">
        <v>1</v>
      </c>
      <c r="I46" s="197"/>
      <c r="J46" s="198"/>
      <c r="K46" s="1"/>
      <c r="L46" s="1"/>
      <c r="M46" s="95"/>
    </row>
    <row r="47" spans="2:13" ht="24.95" customHeight="1">
      <c r="B47" s="54">
        <v>8</v>
      </c>
      <c r="C47" s="54"/>
      <c r="D47" s="55"/>
      <c r="E47" s="56" t="s">
        <v>44</v>
      </c>
      <c r="F47" s="56"/>
      <c r="G47" s="57"/>
      <c r="H47" s="193"/>
      <c r="I47" s="194"/>
      <c r="J47" s="195"/>
      <c r="K47" s="1"/>
      <c r="L47" s="1"/>
      <c r="M47" s="95"/>
    </row>
    <row r="48" spans="2:13" ht="30" customHeight="1">
      <c r="B48" s="50" t="s">
        <v>36</v>
      </c>
      <c r="C48" s="50" t="s">
        <v>272</v>
      </c>
      <c r="D48" s="8" t="s">
        <v>78</v>
      </c>
      <c r="E48" s="144" t="s">
        <v>235</v>
      </c>
      <c r="F48" s="8" t="s">
        <v>22</v>
      </c>
      <c r="G48" s="145">
        <f>4+2+1+1+3</f>
        <v>11</v>
      </c>
      <c r="H48" s="196" t="e">
        <f t="shared" ref="H48" ca="1" si="1">_xlfn.FORMULATEXT(G48)</f>
        <v>#NAME?</v>
      </c>
      <c r="I48" s="197"/>
      <c r="J48" s="198"/>
      <c r="K48" s="1"/>
      <c r="L48" s="1"/>
      <c r="M48" s="95"/>
    </row>
    <row r="49" spans="2:13" ht="24.95" customHeight="1">
      <c r="B49" s="54">
        <v>9</v>
      </c>
      <c r="C49" s="54"/>
      <c r="D49" s="55"/>
      <c r="E49" s="56" t="s">
        <v>45</v>
      </c>
      <c r="F49" s="56"/>
      <c r="G49" s="57"/>
      <c r="H49" s="193"/>
      <c r="I49" s="194"/>
      <c r="J49" s="195"/>
      <c r="K49" s="1"/>
      <c r="L49" s="1"/>
      <c r="M49" s="95"/>
    </row>
    <row r="50" spans="2:13" ht="30" customHeight="1">
      <c r="B50" s="50" t="s">
        <v>37</v>
      </c>
      <c r="C50" s="50" t="s">
        <v>272</v>
      </c>
      <c r="D50" s="51" t="s">
        <v>299</v>
      </c>
      <c r="E50" s="52" t="s">
        <v>300</v>
      </c>
      <c r="F50" s="51" t="s">
        <v>23</v>
      </c>
      <c r="G50" s="49">
        <f>896.28+G27-G28</f>
        <v>902.80499999999995</v>
      </c>
      <c r="H50" s="196" t="s">
        <v>325</v>
      </c>
      <c r="I50" s="197"/>
      <c r="J50" s="198"/>
      <c r="K50" s="1"/>
      <c r="L50" s="1"/>
      <c r="M50" s="95"/>
    </row>
    <row r="51" spans="2:13" ht="34.5" customHeight="1">
      <c r="B51" s="50" t="s">
        <v>38</v>
      </c>
      <c r="C51" s="50" t="s">
        <v>272</v>
      </c>
      <c r="D51" s="51" t="s">
        <v>79</v>
      </c>
      <c r="E51" s="52" t="s">
        <v>51</v>
      </c>
      <c r="F51" s="51" t="s">
        <v>23</v>
      </c>
      <c r="G51" s="49">
        <f>506.33+G27-G28</f>
        <v>512.85500000000002</v>
      </c>
      <c r="H51" s="196" t="s">
        <v>326</v>
      </c>
      <c r="I51" s="197"/>
      <c r="J51" s="198"/>
      <c r="K51" s="1"/>
      <c r="L51" s="1"/>
      <c r="M51" s="95"/>
    </row>
    <row r="52" spans="2:13" ht="34.5" customHeight="1">
      <c r="B52" s="50" t="s">
        <v>39</v>
      </c>
      <c r="C52" s="50" t="s">
        <v>272</v>
      </c>
      <c r="D52" s="51" t="s">
        <v>80</v>
      </c>
      <c r="E52" s="52" t="s">
        <v>52</v>
      </c>
      <c r="F52" s="51" t="s">
        <v>23</v>
      </c>
      <c r="G52" s="49">
        <v>389.95</v>
      </c>
      <c r="H52" s="196">
        <v>389.95</v>
      </c>
      <c r="I52" s="197"/>
      <c r="J52" s="198"/>
      <c r="K52" s="1"/>
      <c r="L52" s="1"/>
      <c r="M52" s="95"/>
    </row>
    <row r="53" spans="2:13" ht="34.5" customHeight="1">
      <c r="B53" s="50" t="s">
        <v>40</v>
      </c>
      <c r="C53" s="50" t="s">
        <v>272</v>
      </c>
      <c r="D53" s="51" t="s">
        <v>81</v>
      </c>
      <c r="E53" s="52" t="s">
        <v>53</v>
      </c>
      <c r="F53" s="51" t="s">
        <v>23</v>
      </c>
      <c r="G53" s="49">
        <f>2*G48*0.9*2.1</f>
        <v>41.580000000000005</v>
      </c>
      <c r="H53" s="196" t="s">
        <v>327</v>
      </c>
      <c r="I53" s="197"/>
      <c r="J53" s="198"/>
      <c r="K53" s="1"/>
      <c r="L53" s="1"/>
      <c r="M53" s="95"/>
    </row>
    <row r="54" spans="2:13" ht="24.95" customHeight="1">
      <c r="B54" s="54">
        <v>10</v>
      </c>
      <c r="C54" s="54"/>
      <c r="D54" s="55"/>
      <c r="E54" s="56" t="s">
        <v>46</v>
      </c>
      <c r="F54" s="56"/>
      <c r="G54" s="57"/>
      <c r="H54" s="193"/>
      <c r="I54" s="194"/>
      <c r="J54" s="195"/>
      <c r="K54" s="1"/>
      <c r="L54" s="1"/>
      <c r="M54" s="95"/>
    </row>
    <row r="55" spans="2:13" ht="30" customHeight="1">
      <c r="B55" s="50" t="s">
        <v>43</v>
      </c>
      <c r="C55" s="50" t="s">
        <v>272</v>
      </c>
      <c r="D55" s="51" t="s">
        <v>82</v>
      </c>
      <c r="E55" s="52" t="s">
        <v>55</v>
      </c>
      <c r="F55" s="51" t="s">
        <v>23</v>
      </c>
      <c r="G55" s="49">
        <f>21.92*14.5</f>
        <v>317.84000000000003</v>
      </c>
      <c r="H55" s="196" t="e">
        <f t="shared" ref="H55" ca="1" si="2">_xlfn.FORMULATEXT(G55)</f>
        <v>#NAME?</v>
      </c>
      <c r="I55" s="197"/>
      <c r="J55" s="198"/>
      <c r="K55" s="1"/>
      <c r="L55" s="1"/>
      <c r="M55" s="95"/>
    </row>
    <row r="56" spans="2:13" ht="30" customHeight="1">
      <c r="B56" s="50" t="s">
        <v>47</v>
      </c>
      <c r="C56" s="50" t="s">
        <v>301</v>
      </c>
      <c r="D56" s="146" t="s">
        <v>63</v>
      </c>
      <c r="E56" s="52" t="s">
        <v>302</v>
      </c>
      <c r="F56" s="51" t="s">
        <v>22</v>
      </c>
      <c r="G56" s="49">
        <v>1</v>
      </c>
      <c r="H56" s="196">
        <v>1</v>
      </c>
      <c r="I56" s="197"/>
      <c r="J56" s="198"/>
      <c r="K56" s="1"/>
      <c r="L56" s="1"/>
      <c r="M56" s="95"/>
    </row>
    <row r="57" spans="2:13" ht="3.75" customHeight="1">
      <c r="B57" s="172"/>
      <c r="C57" s="172"/>
      <c r="D57" s="172"/>
      <c r="E57" s="172"/>
      <c r="F57" s="172"/>
      <c r="G57" s="172"/>
      <c r="H57" s="172"/>
      <c r="I57" s="172"/>
      <c r="J57" s="173"/>
      <c r="K57" s="1"/>
      <c r="L57" s="1"/>
    </row>
    <row r="58" spans="2:13" ht="83.25" customHeight="1">
      <c r="B58" s="6" t="s">
        <v>56</v>
      </c>
      <c r="C58" s="6"/>
      <c r="D58" s="7"/>
      <c r="E58" s="6"/>
      <c r="F58" s="7"/>
      <c r="G58" s="24" t="s">
        <v>56</v>
      </c>
      <c r="H58" s="7"/>
      <c r="I58" s="6"/>
      <c r="J58" s="7"/>
    </row>
    <row r="59" spans="2:13">
      <c r="B59" s="7" t="str">
        <f t="array" ref="B59">PROPER(IF(B4=VLOOKUP(CÁLCULO!B4:B4,DADOS!B:F,1,0),B4,0))</f>
        <v>Prefeitura Municipal De Santos Dumont</v>
      </c>
      <c r="C59" s="7"/>
      <c r="G59" s="164" t="s">
        <v>57</v>
      </c>
      <c r="H59" s="164"/>
      <c r="I59" s="164"/>
      <c r="J59" s="164"/>
    </row>
    <row r="60" spans="2:13">
      <c r="B60" t="str">
        <f t="array" ref="B60">PROPER(IF(B4=VLOOKUP(CÁLCULO!B4:B4,DADOS!B:D,1,0),VLOOKUP(CÁLCULO!B4:B4,DADOS!B:D,3,0),0))</f>
        <v>Carlos Alberto De Azevedo</v>
      </c>
      <c r="C60" s="4"/>
      <c r="G60" s="165" t="s">
        <v>58</v>
      </c>
      <c r="H60" s="165"/>
      <c r="I60" s="165"/>
      <c r="J60" s="165"/>
    </row>
    <row r="61" spans="2:13">
      <c r="B61" t="str">
        <f t="array" ref="B61">PROPER(IF(B4=VLOOKUP(CÁLCULO!B4:B4,DADOS!B:D,1,0),VLOOKUP(CÁLCULO!B4:B4,DADOS!B:D,2,0),0))</f>
        <v>Prefeito Municipal De Santos Dumont</v>
      </c>
      <c r="C61" s="4"/>
      <c r="G61" s="165" t="str">
        <f>IF(G60=DADOS!AS7,"Engenheira Civil","Engenheiro Civil")</f>
        <v>Engenheiro Civil</v>
      </c>
      <c r="H61" s="165"/>
      <c r="I61" s="165"/>
      <c r="J61" s="165"/>
    </row>
    <row r="62" spans="2:13">
      <c r="B62" s="4"/>
      <c r="C62" s="4"/>
      <c r="D62" s="1"/>
      <c r="E62" s="1"/>
      <c r="G62" s="165" t="str" cm="1">
        <f t="array" ref="G62">IF(G60=VLOOKUP(CÁLCULO!G60:G60,DADOS!AS:AT,1,0),VLOOKUP(CÁLCULO!G60:G60,DADOS!AS:AT,2,0),0)</f>
        <v>CREA-MG 59.552/D</v>
      </c>
      <c r="H62" s="165"/>
      <c r="I62" s="165"/>
      <c r="J62" s="165"/>
    </row>
    <row r="63" spans="2:13">
      <c r="B63" s="1"/>
      <c r="C63" s="1"/>
      <c r="E63" s="1"/>
      <c r="I63" s="1"/>
    </row>
    <row r="64" spans="2:13">
      <c r="D64" s="1"/>
      <c r="H64" s="2"/>
      <c r="I64" s="2"/>
    </row>
    <row r="65" spans="2:9">
      <c r="B65" s="4"/>
      <c r="C65" s="4"/>
      <c r="D65" s="1"/>
      <c r="E65" s="1"/>
      <c r="H65" s="2"/>
      <c r="I65" s="2"/>
    </row>
  </sheetData>
  <sheetProtection selectLockedCells="1" selectUnlockedCells="1"/>
  <mergeCells count="67">
    <mergeCell ref="H51:J51"/>
    <mergeCell ref="H52:J52"/>
    <mergeCell ref="H53:J53"/>
    <mergeCell ref="H55:J55"/>
    <mergeCell ref="H56:J56"/>
    <mergeCell ref="H50:J50"/>
    <mergeCell ref="H37:J37"/>
    <mergeCell ref="H38:J38"/>
    <mergeCell ref="H39:J39"/>
    <mergeCell ref="H40:J40"/>
    <mergeCell ref="H41:J41"/>
    <mergeCell ref="H42:J42"/>
    <mergeCell ref="H43:J43"/>
    <mergeCell ref="H44:J44"/>
    <mergeCell ref="H45:J45"/>
    <mergeCell ref="H46:J46"/>
    <mergeCell ref="H48:J48"/>
    <mergeCell ref="H28:J28"/>
    <mergeCell ref="H30:J30"/>
    <mergeCell ref="H32:J32"/>
    <mergeCell ref="H33:J33"/>
    <mergeCell ref="H34:J34"/>
    <mergeCell ref="G61:J61"/>
    <mergeCell ref="G62:J62"/>
    <mergeCell ref="H10:J10"/>
    <mergeCell ref="H11:J11"/>
    <mergeCell ref="H13:J13"/>
    <mergeCell ref="H14:J14"/>
    <mergeCell ref="H16:J16"/>
    <mergeCell ref="H23:J23"/>
    <mergeCell ref="H29:J29"/>
    <mergeCell ref="H31:J31"/>
    <mergeCell ref="H12:J12"/>
    <mergeCell ref="H15:J15"/>
    <mergeCell ref="H17:J17"/>
    <mergeCell ref="H18:J18"/>
    <mergeCell ref="H19:J19"/>
    <mergeCell ref="H36:J36"/>
    <mergeCell ref="F8:H8"/>
    <mergeCell ref="I8:J8"/>
    <mergeCell ref="B57:J57"/>
    <mergeCell ref="G59:J59"/>
    <mergeCell ref="G60:J60"/>
    <mergeCell ref="H35:J35"/>
    <mergeCell ref="H47:J47"/>
    <mergeCell ref="H49:J49"/>
    <mergeCell ref="H54:J54"/>
    <mergeCell ref="H20:J20"/>
    <mergeCell ref="H21:J21"/>
    <mergeCell ref="H22:J22"/>
    <mergeCell ref="H24:J24"/>
    <mergeCell ref="H25:J25"/>
    <mergeCell ref="H26:J26"/>
    <mergeCell ref="H27:J27"/>
    <mergeCell ref="F5:H5"/>
    <mergeCell ref="I5:J5"/>
    <mergeCell ref="F6:H6"/>
    <mergeCell ref="I6:J6"/>
    <mergeCell ref="F7:H7"/>
    <mergeCell ref="I7:J7"/>
    <mergeCell ref="B1:J1"/>
    <mergeCell ref="B2:J2"/>
    <mergeCell ref="F3:H3"/>
    <mergeCell ref="I3:J3"/>
    <mergeCell ref="B4:E4"/>
    <mergeCell ref="F4:H4"/>
    <mergeCell ref="I4:J4"/>
  </mergeCells>
  <phoneticPr fontId="44" type="noConversion"/>
  <pageMargins left="0.47244094488188981" right="0.35433070866141736" top="0.43307086614173229" bottom="0.35433070866141736" header="0.43307086614173229" footer="0.35433070866141736"/>
  <pageSetup paperSize="9" scale="74" firstPageNumber="0" fitToHeight="0" orientation="landscape" horizontalDpi="360" verticalDpi="360" r:id="rId1"/>
  <headerFooter alignWithMargins="0"/>
  <drawing r:id="rId2"/>
  <extLst xmlns:xr="http://schemas.microsoft.com/office/spreadsheetml/2014/revision">
    <ext xmlns:x14="http://schemas.microsoft.com/office/spreadsheetml/2009/9/main" uri="{CCE6A557-97BC-4b89-ADB6-D9C93CAAB3DF}">
      <x14:dataValidations xmlns:xm="http://schemas.microsoft.com/office/excel/2006/main" count="3">
        <x14:dataValidation type="list" allowBlank="1" showInputMessage="1" showErrorMessage="1" xr:uid="{272D81E8-27AB-43EF-8D16-FF6C69DE9DDA}">
          <x14:formula1>
            <xm:f>DADOS!$AS$3:$AS$7</xm:f>
          </x14:formula1>
          <xm:sqref>G60</xm:sqref>
        </x14:dataValidation>
        <x14:dataValidation type="list" allowBlank="1" showInputMessage="1" showErrorMessage="1" xr:uid="{5A8648CD-F6D7-4F88-9E7E-2407433D31A0}">
          <x14:formula1>
            <xm:f>DADOS!$B$2:$B$20</xm:f>
          </x14:formula1>
          <xm:sqref>B4:E4</xm:sqref>
        </x14:dataValidation>
        <x14:dataValidation type="list" allowBlank="1" showInputMessage="1" showErrorMessage="1" xr:uid="{350C65A8-2F88-475B-86D7-433D7DC51079}">
          <x14:formula1>
            <xm:f>DADOS!$AM$10:$AM$11</xm:f>
          </x14:formula1>
          <xm:sqref>F8:H8</xm:sqref>
        </x14:dataValidation>
      </x14:dataValidations>
    </ext>
  </extLst>
</worksheet>
</file>

<file path=xl/worksheets/sheet5.xml><?xml version="1.0" encoding="utf-8"?>
<worksheet xmlns="http://schemas.openxmlformats.org/spreadsheetml/2006/main" xmlns:r="http://schemas.openxmlformats.org/officeDocument/2006/relationships">
  <sheetPr>
    <pageSetUpPr fitToPage="1"/>
  </sheetPr>
  <dimension ref="A1:M158"/>
  <sheetViews>
    <sheetView view="pageBreakPreview" zoomScaleSheetLayoutView="100" workbookViewId="0">
      <selection activeCell="G48" sqref="G48"/>
    </sheetView>
  </sheetViews>
  <sheetFormatPr defaultRowHeight="15"/>
  <cols>
    <col min="1" max="1" width="14.42578125" customWidth="1"/>
    <col min="2" max="2" width="39.140625" customWidth="1"/>
    <col min="3" max="3" width="15.42578125" customWidth="1"/>
    <col min="4" max="4" width="14.28515625" customWidth="1"/>
    <col min="5" max="5" width="14.7109375" customWidth="1"/>
    <col min="6" max="6" width="14.5703125" customWidth="1"/>
    <col min="7" max="7" width="14.42578125" customWidth="1"/>
    <col min="8" max="8" width="13.85546875" customWidth="1"/>
    <col min="9" max="9" width="13.5703125" customWidth="1"/>
    <col min="10" max="10" width="13.140625" customWidth="1"/>
    <col min="11" max="11" width="15" customWidth="1"/>
    <col min="12" max="12" width="14.28515625" customWidth="1"/>
    <col min="13" max="13" width="15.7109375" customWidth="1"/>
  </cols>
  <sheetData>
    <row r="1" spans="1:13" ht="120" customHeight="1" thickBot="1">
      <c r="A1" s="207"/>
      <c r="B1" s="208"/>
      <c r="C1" s="208"/>
      <c r="D1" s="208"/>
      <c r="E1" s="208"/>
      <c r="F1" s="208"/>
      <c r="G1" s="208"/>
      <c r="H1" s="208"/>
      <c r="I1" s="208"/>
      <c r="J1" s="208"/>
      <c r="K1" s="208"/>
      <c r="L1" s="208"/>
      <c r="M1" s="209"/>
    </row>
    <row r="2" spans="1:13" s="38" customFormat="1" ht="24.95" customHeight="1" thickBot="1">
      <c r="A2" s="203" t="s">
        <v>17</v>
      </c>
      <c r="B2" s="204"/>
      <c r="C2" s="204"/>
      <c r="D2" s="204"/>
      <c r="E2" s="204"/>
      <c r="F2" s="204"/>
      <c r="G2" s="204"/>
      <c r="H2" s="204"/>
      <c r="I2" s="204"/>
      <c r="J2" s="204"/>
      <c r="K2" s="204"/>
      <c r="L2" s="204"/>
      <c r="M2" s="205"/>
    </row>
    <row r="3" spans="1:13" s="38" customFormat="1" ht="20.100000000000001" customHeight="1">
      <c r="A3" s="108" t="s">
        <v>113</v>
      </c>
      <c r="B3" s="109"/>
      <c r="C3" s="109"/>
      <c r="D3" s="109"/>
      <c r="E3" s="63"/>
      <c r="F3" s="63"/>
      <c r="G3" s="63"/>
      <c r="H3" s="110"/>
      <c r="I3" s="162" t="s">
        <v>116</v>
      </c>
      <c r="J3" s="162"/>
      <c r="K3" s="162"/>
      <c r="L3" s="210" t="s">
        <v>110</v>
      </c>
      <c r="M3" s="211"/>
    </row>
    <row r="4" spans="1:13" s="38" customFormat="1">
      <c r="A4" s="190" t="str">
        <f>'P. O.'!B4</f>
        <v>PREFEITURA MUNICIPAL DE SANTOS DUMONT</v>
      </c>
      <c r="B4" s="191"/>
      <c r="C4" s="191"/>
      <c r="D4" s="191"/>
      <c r="E4" s="191"/>
      <c r="F4" s="191"/>
      <c r="G4" s="191"/>
      <c r="H4" s="202"/>
      <c r="I4" s="175" t="str">
        <f>'P. O.'!F4</f>
        <v>SICOR LESTE - JANEIRO/2024</v>
      </c>
      <c r="J4" s="175"/>
      <c r="K4" s="175"/>
      <c r="L4" s="212">
        <f>'P. O.'!I4</f>
        <v>45406</v>
      </c>
      <c r="M4" s="213"/>
    </row>
    <row r="5" spans="1:13" s="38" customFormat="1">
      <c r="A5" s="65" t="s">
        <v>114</v>
      </c>
      <c r="B5" s="66"/>
      <c r="C5" s="66"/>
      <c r="D5" s="66"/>
      <c r="H5" s="111"/>
      <c r="I5" s="175" t="str">
        <f>'P. O.'!F5</f>
        <v>SINAPI MG - MARÇO/2024</v>
      </c>
      <c r="J5" s="175"/>
      <c r="K5" s="175"/>
      <c r="L5" s="214" t="s">
        <v>111</v>
      </c>
      <c r="M5" s="180"/>
    </row>
    <row r="6" spans="1:13" s="69" customFormat="1">
      <c r="A6" s="67" t="str">
        <f>'P. O.'!B6</f>
        <v>REFORMA E.M. JOAQUIM CHAVES</v>
      </c>
      <c r="B6" s="68"/>
      <c r="C6" s="68"/>
      <c r="D6" s="68"/>
      <c r="H6" s="112"/>
      <c r="I6" s="175"/>
      <c r="J6" s="175"/>
      <c r="K6" s="175"/>
      <c r="L6" s="215">
        <f>'P. O.'!I6</f>
        <v>0.05</v>
      </c>
      <c r="M6" s="184"/>
    </row>
    <row r="7" spans="1:13" s="38" customFormat="1">
      <c r="A7" s="65" t="s">
        <v>115</v>
      </c>
      <c r="B7" s="66"/>
      <c r="C7" s="66"/>
      <c r="D7" s="66"/>
      <c r="H7" s="111"/>
      <c r="I7" s="162" t="s">
        <v>112</v>
      </c>
      <c r="J7" s="162"/>
      <c r="K7" s="162"/>
      <c r="L7" s="214" t="s">
        <v>109</v>
      </c>
      <c r="M7" s="180"/>
    </row>
    <row r="8" spans="1:13" s="69" customFormat="1" ht="15.75" thickBot="1">
      <c r="A8" s="73" t="str">
        <f>'P. O.'!B8</f>
        <v>RUA OVÍDIO RUFINO FERREIRA - ANTONIO AFONSO</v>
      </c>
      <c r="B8" s="74"/>
      <c r="C8" s="74"/>
      <c r="D8" s="74"/>
      <c r="E8" s="113"/>
      <c r="F8" s="113"/>
      <c r="G8" s="113"/>
      <c r="H8" s="114"/>
      <c r="I8" s="188" t="str">
        <f>'P. O.'!F8</f>
        <v>NÃO DESONERADO</v>
      </c>
      <c r="J8" s="188"/>
      <c r="K8" s="188"/>
      <c r="L8" s="216">
        <f>'P. O.'!I8</f>
        <v>0.23213294482685121</v>
      </c>
      <c r="M8" s="186"/>
    </row>
    <row r="9" spans="1:13" ht="9.9499999999999993" customHeight="1" thickBot="1">
      <c r="A9" s="206"/>
      <c r="B9" s="206"/>
      <c r="C9" s="206"/>
      <c r="D9" s="206"/>
      <c r="E9" s="206"/>
    </row>
    <row r="10" spans="1:13" s="5" customFormat="1" ht="41.25" customHeight="1" thickBot="1">
      <c r="A10" s="122" t="s">
        <v>0</v>
      </c>
      <c r="B10" s="122" t="s">
        <v>2</v>
      </c>
      <c r="C10" s="123" t="s">
        <v>18</v>
      </c>
      <c r="D10" s="122">
        <v>1</v>
      </c>
      <c r="E10" s="122">
        <v>2</v>
      </c>
      <c r="F10" s="122">
        <v>3</v>
      </c>
      <c r="G10" s="122">
        <v>4</v>
      </c>
      <c r="H10" s="122">
        <v>5</v>
      </c>
      <c r="I10" s="122">
        <v>6</v>
      </c>
      <c r="J10" s="122">
        <v>7</v>
      </c>
      <c r="K10" s="122">
        <v>8</v>
      </c>
      <c r="L10" s="122">
        <v>9</v>
      </c>
      <c r="M10" s="122">
        <v>10</v>
      </c>
    </row>
    <row r="11" spans="1:13" s="5" customFormat="1" ht="21.95" customHeight="1">
      <c r="A11" s="117"/>
      <c r="B11" s="117"/>
      <c r="C11" s="118"/>
      <c r="D11" s="118"/>
      <c r="E11" s="119"/>
      <c r="F11" s="120"/>
      <c r="G11" s="120"/>
      <c r="H11" s="121"/>
      <c r="I11" s="120"/>
      <c r="J11" s="120"/>
      <c r="K11" s="120"/>
      <c r="L11" s="120"/>
      <c r="M11" s="120"/>
    </row>
    <row r="12" spans="1:13" s="5" customFormat="1" ht="21.95" customHeight="1">
      <c r="A12" s="9">
        <v>1</v>
      </c>
      <c r="B12" s="9" t="str">
        <f>'P. O.'!E11</f>
        <v>SERVIÇOS PRELIMINARES</v>
      </c>
      <c r="C12" s="25">
        <f>C13/$C$44</f>
        <v>2.4319177622171357E-2</v>
      </c>
      <c r="D12" s="25">
        <v>1</v>
      </c>
      <c r="E12" s="25"/>
      <c r="F12" s="25"/>
      <c r="G12" s="25"/>
      <c r="H12" s="25"/>
      <c r="I12" s="25"/>
      <c r="J12" s="25"/>
      <c r="K12" s="25"/>
      <c r="L12" s="25"/>
      <c r="M12" s="25"/>
    </row>
    <row r="13" spans="1:13" s="5" customFormat="1" ht="21.95" customHeight="1">
      <c r="A13" s="9"/>
      <c r="B13" s="9"/>
      <c r="C13" s="33">
        <f>'P. O.'!J11</f>
        <v>1708.35</v>
      </c>
      <c r="D13" s="34">
        <f>D12*$C$13</f>
        <v>1708.35</v>
      </c>
      <c r="E13" s="34"/>
      <c r="F13" s="34"/>
      <c r="G13" s="34"/>
      <c r="H13" s="34"/>
      <c r="I13" s="34"/>
      <c r="J13" s="34"/>
      <c r="K13" s="34"/>
      <c r="L13" s="34"/>
      <c r="M13" s="34"/>
    </row>
    <row r="14" spans="1:13" s="5" customFormat="1" ht="21.95" customHeight="1">
      <c r="A14" s="9"/>
      <c r="B14" s="9"/>
      <c r="C14" s="10"/>
      <c r="D14" s="26"/>
      <c r="E14" s="27"/>
      <c r="F14" s="28"/>
      <c r="G14" s="28"/>
      <c r="H14" s="29"/>
      <c r="I14" s="28"/>
      <c r="J14" s="28"/>
      <c r="K14" s="28"/>
      <c r="L14" s="28"/>
      <c r="M14" s="28"/>
    </row>
    <row r="15" spans="1:13" s="5" customFormat="1" ht="21.95" customHeight="1">
      <c r="A15" s="11" t="s">
        <v>7</v>
      </c>
      <c r="B15" s="9" t="str">
        <f>'P. O.'!E13</f>
        <v>ADMINISTRAÇÃO DE OBRA</v>
      </c>
      <c r="C15" s="25">
        <f>C16/$C$44</f>
        <v>9.4113587435653873E-2</v>
      </c>
      <c r="D15" s="25">
        <v>1</v>
      </c>
      <c r="E15" s="25"/>
      <c r="F15" s="25"/>
      <c r="G15" s="25"/>
      <c r="H15" s="25"/>
      <c r="I15" s="25"/>
      <c r="J15" s="25"/>
      <c r="K15" s="25"/>
      <c r="L15" s="25"/>
      <c r="M15" s="25"/>
    </row>
    <row r="16" spans="1:13" s="5" customFormat="1" ht="21.95" customHeight="1">
      <c r="A16" s="9"/>
      <c r="B16" s="9"/>
      <c r="C16" s="33">
        <f>'P. O.'!J13</f>
        <v>6611.2000000000007</v>
      </c>
      <c r="D16" s="34">
        <f>D15*$C$16</f>
        <v>6611.2000000000007</v>
      </c>
      <c r="E16" s="34"/>
      <c r="F16" s="34"/>
      <c r="G16" s="34"/>
      <c r="H16" s="34"/>
      <c r="I16" s="34"/>
      <c r="J16" s="34"/>
      <c r="K16" s="34"/>
      <c r="L16" s="34"/>
      <c r="M16" s="34"/>
    </row>
    <row r="17" spans="1:13" s="5" customFormat="1" ht="21.95" customHeight="1">
      <c r="A17" s="9"/>
      <c r="B17" s="9"/>
      <c r="C17" s="10"/>
      <c r="D17" s="30"/>
      <c r="E17" s="131"/>
      <c r="F17" s="132"/>
      <c r="G17" s="132"/>
      <c r="H17" s="132"/>
      <c r="I17" s="132"/>
      <c r="J17" s="132"/>
      <c r="K17" s="132"/>
      <c r="L17" s="132"/>
      <c r="M17" s="132"/>
    </row>
    <row r="18" spans="1:13" s="5" customFormat="1" ht="21.95" customHeight="1">
      <c r="A18" s="11" t="s">
        <v>9</v>
      </c>
      <c r="B18" s="9" t="str">
        <f>'P. O.'!E16</f>
        <v>DEMOLIÇÃO</v>
      </c>
      <c r="C18" s="25">
        <f>C19/$C$44</f>
        <v>1.5882094944085177E-2</v>
      </c>
      <c r="D18" s="25">
        <v>1</v>
      </c>
      <c r="E18" s="25"/>
      <c r="F18" s="25"/>
      <c r="G18" s="25"/>
      <c r="H18" s="25"/>
      <c r="I18" s="25"/>
      <c r="J18" s="25"/>
      <c r="K18" s="25"/>
      <c r="L18" s="25"/>
      <c r="M18" s="25"/>
    </row>
    <row r="19" spans="1:13" s="5" customFormat="1" ht="21.95" customHeight="1">
      <c r="A19" s="9"/>
      <c r="B19" s="9"/>
      <c r="C19" s="33">
        <f>'P. O.'!J16</f>
        <v>1115.6699999999998</v>
      </c>
      <c r="D19" s="34">
        <f>D18*$C$19</f>
        <v>1115.6699999999998</v>
      </c>
      <c r="E19" s="34"/>
      <c r="F19" s="34"/>
      <c r="G19" s="34"/>
      <c r="H19" s="34"/>
      <c r="I19" s="34"/>
      <c r="J19" s="34"/>
      <c r="K19" s="34"/>
      <c r="L19" s="34"/>
      <c r="M19" s="34"/>
    </row>
    <row r="20" spans="1:13" s="139" customFormat="1" ht="21.95" customHeight="1">
      <c r="A20" s="136"/>
      <c r="B20" s="136"/>
      <c r="C20" s="137"/>
      <c r="D20" s="138"/>
      <c r="E20" s="136"/>
      <c r="F20" s="28"/>
      <c r="G20" s="28"/>
      <c r="H20" s="28"/>
      <c r="I20" s="28"/>
      <c r="J20" s="28"/>
      <c r="K20" s="28"/>
      <c r="L20" s="28"/>
      <c r="M20" s="28"/>
    </row>
    <row r="21" spans="1:13" s="5" customFormat="1" ht="21.95" customHeight="1">
      <c r="A21" s="133" t="s">
        <v>12</v>
      </c>
      <c r="B21" s="134" t="str">
        <f>'P. O.'!E23</f>
        <v>ALVENARIA/REVESTIMENTOS</v>
      </c>
      <c r="C21" s="135">
        <f>C22/$C$44</f>
        <v>1.7398742694175115E-2</v>
      </c>
      <c r="D21" s="135">
        <v>1</v>
      </c>
      <c r="E21" s="135"/>
      <c r="F21" s="135"/>
      <c r="G21" s="135"/>
      <c r="H21" s="135"/>
      <c r="I21" s="135"/>
      <c r="J21" s="135"/>
      <c r="K21" s="135"/>
      <c r="L21" s="135"/>
      <c r="M21" s="135"/>
    </row>
    <row r="22" spans="1:13" s="5" customFormat="1" ht="21.95" customHeight="1">
      <c r="A22" s="9"/>
      <c r="B22" s="9"/>
      <c r="C22" s="33">
        <f>'P. O.'!J23</f>
        <v>1222.21</v>
      </c>
      <c r="D22" s="34">
        <f>D21*$C$22</f>
        <v>1222.21</v>
      </c>
      <c r="E22" s="34"/>
      <c r="F22" s="34"/>
      <c r="G22" s="34"/>
      <c r="H22" s="34"/>
      <c r="I22" s="34"/>
      <c r="J22" s="34"/>
      <c r="K22" s="34"/>
      <c r="L22" s="34"/>
      <c r="M22" s="34"/>
    </row>
    <row r="23" spans="1:13" s="5" customFormat="1" ht="21.95" customHeight="1">
      <c r="A23" s="9"/>
      <c r="B23" s="13"/>
      <c r="C23" s="12"/>
      <c r="D23" s="26"/>
      <c r="E23" s="27"/>
      <c r="F23" s="28"/>
      <c r="G23" s="28"/>
      <c r="H23" s="28"/>
      <c r="I23" s="28"/>
      <c r="J23" s="28"/>
      <c r="K23" s="28"/>
      <c r="L23" s="28"/>
      <c r="M23" s="28"/>
    </row>
    <row r="24" spans="1:13" s="5" customFormat="1" ht="21.95" customHeight="1">
      <c r="A24" s="11" t="s">
        <v>15</v>
      </c>
      <c r="B24" s="9" t="str">
        <f>'P. O.'!E29</f>
        <v>PISOS/RODAPÉS</v>
      </c>
      <c r="C24" s="25">
        <f>C25/$C$44</f>
        <v>2.0434031161175072E-2</v>
      </c>
      <c r="D24" s="25">
        <v>1</v>
      </c>
      <c r="E24" s="25"/>
      <c r="F24" s="25"/>
      <c r="G24" s="25"/>
      <c r="H24" s="25"/>
      <c r="I24" s="25"/>
      <c r="J24" s="25"/>
      <c r="K24" s="25"/>
      <c r="L24" s="25"/>
      <c r="M24" s="25"/>
    </row>
    <row r="25" spans="1:13" s="5" customFormat="1" ht="21.95" customHeight="1">
      <c r="A25" s="9"/>
      <c r="B25" s="9"/>
      <c r="C25" s="33">
        <f>'P. O.'!J29</f>
        <v>1435.43</v>
      </c>
      <c r="D25" s="34">
        <f>D24*$C$25</f>
        <v>1435.43</v>
      </c>
      <c r="E25" s="34"/>
      <c r="F25" s="34"/>
      <c r="G25" s="34"/>
      <c r="H25" s="34"/>
      <c r="I25" s="34"/>
      <c r="J25" s="34"/>
      <c r="K25" s="34"/>
      <c r="L25" s="34"/>
      <c r="M25" s="34"/>
    </row>
    <row r="26" spans="1:13" s="5" customFormat="1" ht="21.95" customHeight="1">
      <c r="A26" s="9"/>
      <c r="B26" s="9"/>
      <c r="C26" s="14"/>
      <c r="D26" s="30"/>
      <c r="E26" s="31"/>
      <c r="F26" s="28"/>
      <c r="G26" s="28"/>
      <c r="H26" s="28"/>
      <c r="I26" s="28"/>
      <c r="J26" s="28"/>
      <c r="K26" s="28"/>
      <c r="L26" s="28"/>
      <c r="M26" s="28"/>
    </row>
    <row r="27" spans="1:13" s="5" customFormat="1" ht="21.95" customHeight="1">
      <c r="A27" s="11" t="s">
        <v>26</v>
      </c>
      <c r="B27" s="9" t="str">
        <f>'P. O.'!E31</f>
        <v>INSTALAÇÕES HIDROSSANITÁRIAS</v>
      </c>
      <c r="C27" s="25">
        <f>C28/$C$44</f>
        <v>1.7983393746326359E-2</v>
      </c>
      <c r="D27" s="25">
        <v>1</v>
      </c>
      <c r="E27" s="25"/>
      <c r="F27" s="25"/>
      <c r="G27" s="25"/>
      <c r="H27" s="25"/>
      <c r="I27" s="25"/>
      <c r="J27" s="25"/>
      <c r="K27" s="25"/>
      <c r="L27" s="25"/>
      <c r="M27" s="25"/>
    </row>
    <row r="28" spans="1:13" s="5" customFormat="1" ht="21.95" customHeight="1">
      <c r="A28" s="9"/>
      <c r="B28" s="9"/>
      <c r="C28" s="33">
        <f>'P. O.'!J31</f>
        <v>1263.28</v>
      </c>
      <c r="D28" s="34">
        <f>D27*$C$28</f>
        <v>1263.28</v>
      </c>
      <c r="E28" s="34"/>
      <c r="F28" s="34"/>
      <c r="G28" s="34"/>
      <c r="H28" s="34"/>
      <c r="I28" s="34"/>
      <c r="J28" s="34"/>
      <c r="K28" s="34"/>
      <c r="L28" s="34"/>
      <c r="M28" s="34"/>
    </row>
    <row r="29" spans="1:13" s="5" customFormat="1" ht="21.95" customHeight="1">
      <c r="A29" s="9"/>
      <c r="B29" s="9"/>
      <c r="C29" s="14"/>
      <c r="D29" s="30"/>
      <c r="E29" s="32"/>
      <c r="F29" s="28"/>
      <c r="G29" s="28"/>
      <c r="H29" s="28"/>
      <c r="I29" s="28"/>
      <c r="J29" s="28"/>
      <c r="K29" s="28"/>
      <c r="L29" s="28"/>
      <c r="M29" s="28"/>
    </row>
    <row r="30" spans="1:13" s="5" customFormat="1" ht="21.95" customHeight="1">
      <c r="A30" s="11" t="s">
        <v>30</v>
      </c>
      <c r="B30" s="9" t="str">
        <f>'P. O.'!E35</f>
        <v>LOUÇAS E METAIS</v>
      </c>
      <c r="C30" s="25">
        <f>C31/$C$44</f>
        <v>6.0863498428332122E-2</v>
      </c>
      <c r="D30" s="25">
        <v>1</v>
      </c>
      <c r="E30" s="25"/>
      <c r="F30" s="25"/>
      <c r="G30" s="25"/>
      <c r="H30" s="25"/>
      <c r="I30" s="25"/>
      <c r="J30" s="25"/>
      <c r="K30" s="25"/>
      <c r="L30" s="25"/>
      <c r="M30" s="25"/>
    </row>
    <row r="31" spans="1:13" s="5" customFormat="1" ht="21.95" customHeight="1">
      <c r="A31" s="9"/>
      <c r="B31" s="9"/>
      <c r="C31" s="33">
        <f>'P. O.'!J35</f>
        <v>4275.4799999999996</v>
      </c>
      <c r="D31" s="34">
        <f>D30*$C$31</f>
        <v>4275.4799999999996</v>
      </c>
      <c r="E31" s="34"/>
      <c r="F31" s="34"/>
      <c r="G31" s="34"/>
      <c r="H31" s="34"/>
      <c r="I31" s="34"/>
      <c r="J31" s="34"/>
      <c r="K31" s="34"/>
      <c r="L31" s="34"/>
      <c r="M31" s="34"/>
    </row>
    <row r="32" spans="1:13" s="5" customFormat="1" ht="21.95" customHeight="1">
      <c r="A32" s="9"/>
      <c r="B32" s="9"/>
      <c r="C32" s="14"/>
      <c r="D32" s="30"/>
      <c r="E32" s="32"/>
      <c r="F32" s="28"/>
      <c r="G32" s="28"/>
      <c r="H32" s="28"/>
      <c r="I32" s="28"/>
      <c r="J32" s="28"/>
      <c r="K32" s="28"/>
      <c r="L32" s="28"/>
      <c r="M32" s="28"/>
    </row>
    <row r="33" spans="1:13" s="5" customFormat="1" ht="21.95" customHeight="1">
      <c r="A33" s="11" t="s">
        <v>33</v>
      </c>
      <c r="B33" s="9" t="str">
        <f>'P. O.'!E47</f>
        <v>ESQUADRIAS</v>
      </c>
      <c r="C33" s="25">
        <f>C34/$C$44</f>
        <v>0.21031166726906461</v>
      </c>
      <c r="D33" s="25">
        <v>1</v>
      </c>
      <c r="E33" s="25"/>
      <c r="F33" s="25"/>
      <c r="G33" s="25"/>
      <c r="H33" s="25"/>
      <c r="I33" s="25"/>
      <c r="J33" s="25"/>
      <c r="K33" s="25"/>
      <c r="L33" s="25"/>
      <c r="M33" s="25"/>
    </row>
    <row r="34" spans="1:13" s="5" customFormat="1" ht="21.95" customHeight="1">
      <c r="A34" s="9"/>
      <c r="B34" s="9"/>
      <c r="C34" s="33">
        <f>'P. O.'!J47</f>
        <v>14773.77</v>
      </c>
      <c r="D34" s="34">
        <f>D33*$C$34</f>
        <v>14773.77</v>
      </c>
      <c r="E34" s="34"/>
      <c r="F34" s="34"/>
      <c r="G34" s="34"/>
      <c r="H34" s="34"/>
      <c r="I34" s="34"/>
      <c r="J34" s="34"/>
      <c r="K34" s="34"/>
      <c r="L34" s="34"/>
      <c r="M34" s="34"/>
    </row>
    <row r="35" spans="1:13" s="5" customFormat="1" ht="21.95" customHeight="1">
      <c r="A35" s="9"/>
      <c r="B35" s="9"/>
      <c r="C35" s="14"/>
      <c r="D35" s="30"/>
      <c r="E35" s="32"/>
      <c r="F35" s="28"/>
      <c r="G35" s="28"/>
      <c r="H35" s="28"/>
      <c r="I35" s="28"/>
      <c r="J35" s="28"/>
      <c r="K35" s="28"/>
      <c r="L35" s="28"/>
      <c r="M35" s="28"/>
    </row>
    <row r="36" spans="1:13" s="5" customFormat="1" ht="21.95" customHeight="1">
      <c r="A36" s="11" t="s">
        <v>34</v>
      </c>
      <c r="B36" s="9" t="str">
        <f>'P. O.'!E49</f>
        <v>PINTURA</v>
      </c>
      <c r="C36" s="25">
        <f>C37/$C$44</f>
        <v>0.44152756351407307</v>
      </c>
      <c r="D36" s="25">
        <v>0.1</v>
      </c>
      <c r="E36" s="25">
        <v>0.9</v>
      </c>
      <c r="F36" s="25"/>
      <c r="G36" s="25"/>
      <c r="H36" s="25"/>
      <c r="I36" s="25"/>
      <c r="J36" s="25"/>
      <c r="K36" s="25"/>
      <c r="L36" s="25"/>
      <c r="M36" s="25"/>
    </row>
    <row r="37" spans="1:13" s="5" customFormat="1" ht="21.95" customHeight="1">
      <c r="A37" s="9"/>
      <c r="B37" s="9"/>
      <c r="C37" s="33">
        <f>'P. O.'!J49</f>
        <v>31015.999999999996</v>
      </c>
      <c r="D37" s="34">
        <f>D36*$C$37</f>
        <v>3101.6</v>
      </c>
      <c r="E37" s="34">
        <f t="shared" ref="E37" si="0">E36*$C$37</f>
        <v>27914.399999999998</v>
      </c>
      <c r="F37" s="34"/>
      <c r="G37" s="34"/>
      <c r="H37" s="34"/>
      <c r="I37" s="34"/>
      <c r="J37" s="34"/>
      <c r="K37" s="34"/>
      <c r="L37" s="34"/>
      <c r="M37" s="34"/>
    </row>
    <row r="38" spans="1:13" s="5" customFormat="1" ht="21.95" customHeight="1">
      <c r="A38" s="9"/>
      <c r="B38" s="9"/>
      <c r="C38" s="14"/>
      <c r="D38" s="30"/>
      <c r="E38" s="32"/>
      <c r="F38" s="28"/>
      <c r="G38" s="28"/>
      <c r="H38" s="28"/>
      <c r="I38" s="28"/>
      <c r="J38" s="28"/>
      <c r="K38" s="28"/>
      <c r="L38" s="28"/>
      <c r="M38" s="28"/>
    </row>
    <row r="39" spans="1:13" s="5" customFormat="1" ht="21.95" customHeight="1">
      <c r="A39" s="11" t="s">
        <v>41</v>
      </c>
      <c r="B39" s="9" t="str">
        <f>'P. O.'!E54</f>
        <v>SERVIÇOS COMPLEMENTARES</v>
      </c>
      <c r="C39" s="25">
        <f>C40/$C$44</f>
        <v>9.7166243184943185E-2</v>
      </c>
      <c r="D39" s="25">
        <v>0</v>
      </c>
      <c r="E39" s="25">
        <v>1</v>
      </c>
      <c r="F39" s="25"/>
      <c r="G39" s="25"/>
      <c r="H39" s="25"/>
      <c r="I39" s="25"/>
      <c r="J39" s="25"/>
      <c r="K39" s="25"/>
      <c r="L39" s="25"/>
      <c r="M39" s="25"/>
    </row>
    <row r="40" spans="1:13" s="5" customFormat="1" ht="21.95" customHeight="1">
      <c r="A40" s="9"/>
      <c r="B40" s="9"/>
      <c r="C40" s="33">
        <f>'P. O.'!J54</f>
        <v>6825.6399999999994</v>
      </c>
      <c r="D40" s="34">
        <f>D39*$C$40</f>
        <v>0</v>
      </c>
      <c r="E40" s="34">
        <f t="shared" ref="E40" si="1">E39*$C$40</f>
        <v>6825.6399999999994</v>
      </c>
      <c r="F40" s="34"/>
      <c r="G40" s="34"/>
      <c r="H40" s="34"/>
      <c r="I40" s="34"/>
      <c r="J40" s="34"/>
      <c r="K40" s="34"/>
      <c r="L40" s="34"/>
      <c r="M40" s="34"/>
    </row>
    <row r="41" spans="1:13" s="5" customFormat="1" ht="21.95" customHeight="1">
      <c r="A41" s="9"/>
      <c r="B41" s="9"/>
      <c r="C41" s="14"/>
      <c r="D41" s="30"/>
      <c r="E41" s="32"/>
      <c r="F41" s="28"/>
      <c r="G41" s="28"/>
      <c r="H41" s="28"/>
      <c r="I41" s="28"/>
      <c r="J41" s="28"/>
      <c r="K41" s="28"/>
      <c r="L41" s="28"/>
      <c r="M41" s="28"/>
    </row>
    <row r="42" spans="1:13" s="5" customFormat="1" ht="21.95" customHeight="1">
      <c r="A42" s="9"/>
      <c r="B42" s="16"/>
      <c r="C42" s="15"/>
      <c r="D42" s="30"/>
      <c r="E42" s="31"/>
      <c r="F42" s="28"/>
      <c r="G42" s="28"/>
      <c r="H42" s="28"/>
      <c r="I42" s="28"/>
      <c r="J42" s="28"/>
      <c r="K42" s="28"/>
      <c r="L42" s="28"/>
      <c r="M42" s="28"/>
    </row>
    <row r="43" spans="1:13" s="17" customFormat="1" ht="21.95" customHeight="1">
      <c r="A43" s="18"/>
      <c r="B43" s="19" t="s">
        <v>19</v>
      </c>
      <c r="C43" s="35">
        <f>C18+C39+C36+C33+C30+C27+C24+C21+C15+C12</f>
        <v>1</v>
      </c>
      <c r="D43" s="36">
        <f>D44/$C$44</f>
        <v>0.50545894965239113</v>
      </c>
      <c r="E43" s="36">
        <f t="shared" ref="E43" si="2">E44/$C$44</f>
        <v>0.49454105034760892</v>
      </c>
      <c r="F43" s="36"/>
      <c r="G43" s="36"/>
      <c r="H43" s="36"/>
      <c r="I43" s="36"/>
      <c r="J43" s="36"/>
      <c r="K43" s="36"/>
      <c r="L43" s="36"/>
      <c r="M43" s="36"/>
    </row>
    <row r="44" spans="1:13" s="17" customFormat="1" ht="21.95" customHeight="1">
      <c r="A44" s="22"/>
      <c r="B44" s="23" t="s">
        <v>20</v>
      </c>
      <c r="C44" s="37">
        <f>C13+C16+C19+C22+C25+C28+C31+C34+C37+C40</f>
        <v>70247.03</v>
      </c>
      <c r="D44" s="37">
        <f>D13+D16+D19+D22+D25+D28+D31+D34+D37+D40</f>
        <v>35506.990000000005</v>
      </c>
      <c r="E44" s="37">
        <f t="shared" ref="E44" si="3">E13+E16+E19+E22+E25+E28+E31+E34+E37+E40</f>
        <v>34740.039999999994</v>
      </c>
      <c r="F44" s="37"/>
      <c r="G44" s="37"/>
      <c r="H44" s="37"/>
      <c r="I44" s="37"/>
      <c r="J44" s="37"/>
      <c r="K44" s="37"/>
      <c r="L44" s="37"/>
      <c r="M44" s="37"/>
    </row>
    <row r="45" spans="1:13" ht="71.25" customHeight="1">
      <c r="A45" s="6" t="s">
        <v>62</v>
      </c>
      <c r="C45" s="6"/>
      <c r="D45" s="7"/>
      <c r="F45" s="7"/>
      <c r="G45" s="6"/>
      <c r="H45" s="7"/>
      <c r="J45" s="6" t="s">
        <v>62</v>
      </c>
    </row>
    <row r="46" spans="1:13">
      <c r="A46" s="7" t="str">
        <f>'P. O.'!$B$60</f>
        <v>Prefeitura Municipal De Santos Dumont</v>
      </c>
      <c r="F46" s="2"/>
      <c r="G46" s="2"/>
      <c r="J46" s="7" t="s">
        <v>57</v>
      </c>
    </row>
    <row r="47" spans="1:13">
      <c r="A47" s="4" t="str">
        <f>'P. O.'!$B$61</f>
        <v>Carlos Alberto De Azevedo</v>
      </c>
      <c r="F47" s="2"/>
      <c r="G47" s="2"/>
      <c r="J47" t="str">
        <f>'P. O.'!G61</f>
        <v>Pedro Giovanni Vieira Vidal</v>
      </c>
    </row>
    <row r="48" spans="1:13">
      <c r="A48" s="4" t="str">
        <f>'P. O.'!$B$62</f>
        <v>Prefeito Municipal De Santos Dumont</v>
      </c>
      <c r="F48" s="2"/>
      <c r="G48" s="2"/>
      <c r="J48" t="str">
        <f>'P. O.'!G62</f>
        <v>Engenheiro Civil</v>
      </c>
    </row>
    <row r="49" spans="1:10">
      <c r="E49" s="3"/>
      <c r="J49" t="str">
        <f>'P. O.'!G63</f>
        <v>CREA-MG 59.552/D</v>
      </c>
    </row>
    <row r="50" spans="1:10">
      <c r="A50" s="4"/>
      <c r="E50" s="3"/>
    </row>
    <row r="51" spans="1:10">
      <c r="A51" s="5"/>
      <c r="E51" s="3"/>
    </row>
    <row r="52" spans="1:10">
      <c r="A52" s="4"/>
      <c r="E52" s="3"/>
    </row>
    <row r="53" spans="1:10">
      <c r="A53" s="5"/>
      <c r="E53" s="3"/>
    </row>
    <row r="54" spans="1:10">
      <c r="A54" s="21"/>
      <c r="B54" s="21"/>
      <c r="C54" s="21"/>
      <c r="D54" s="21"/>
      <c r="E54" s="21"/>
    </row>
    <row r="55" spans="1:10">
      <c r="A55" s="20"/>
      <c r="B55" s="20"/>
      <c r="C55" s="20"/>
      <c r="D55" s="20"/>
      <c r="E55" s="20"/>
    </row>
    <row r="56" spans="1:10">
      <c r="A56" s="20"/>
      <c r="B56" s="20"/>
      <c r="C56" s="20"/>
      <c r="D56" s="20"/>
      <c r="E56" s="20"/>
    </row>
    <row r="57" spans="1:10">
      <c r="A57" s="20"/>
      <c r="B57" s="20"/>
      <c r="C57" s="20"/>
      <c r="D57" s="20"/>
      <c r="E57" s="20"/>
    </row>
    <row r="58" spans="1:10">
      <c r="E58" s="3"/>
    </row>
    <row r="59" spans="1:10">
      <c r="E59" s="3"/>
    </row>
    <row r="60" spans="1:10">
      <c r="E60" s="3"/>
    </row>
    <row r="61" spans="1:10">
      <c r="E61" s="3"/>
    </row>
    <row r="62" spans="1:10">
      <c r="E62" s="3"/>
    </row>
    <row r="63" spans="1:10">
      <c r="E63" s="3"/>
    </row>
    <row r="64" spans="1:10">
      <c r="E64" s="3"/>
    </row>
    <row r="65" spans="5:5">
      <c r="E65" s="3"/>
    </row>
    <row r="66" spans="5:5">
      <c r="E66" s="3"/>
    </row>
    <row r="67" spans="5:5">
      <c r="E67" s="3"/>
    </row>
    <row r="68" spans="5:5">
      <c r="E68" s="3"/>
    </row>
    <row r="69" spans="5:5">
      <c r="E69" s="3"/>
    </row>
    <row r="70" spans="5:5">
      <c r="E70" s="3"/>
    </row>
    <row r="71" spans="5:5">
      <c r="E71" s="3"/>
    </row>
    <row r="72" spans="5:5">
      <c r="E72" s="3"/>
    </row>
    <row r="73" spans="5:5">
      <c r="E73" s="3"/>
    </row>
    <row r="74" spans="5:5">
      <c r="E74" s="3"/>
    </row>
    <row r="75" spans="5:5">
      <c r="E75" s="3"/>
    </row>
    <row r="76" spans="5:5">
      <c r="E76" s="3"/>
    </row>
    <row r="77" spans="5:5">
      <c r="E77" s="3"/>
    </row>
    <row r="78" spans="5:5">
      <c r="E78" s="3"/>
    </row>
    <row r="79" spans="5:5">
      <c r="E79" s="3"/>
    </row>
    <row r="80" spans="5:5">
      <c r="E80" s="3"/>
    </row>
    <row r="81" spans="5:5">
      <c r="E81" s="3"/>
    </row>
    <row r="82" spans="5:5">
      <c r="E82" s="3"/>
    </row>
    <row r="83" spans="5:5">
      <c r="E83" s="3"/>
    </row>
    <row r="84" spans="5:5">
      <c r="E84" s="3"/>
    </row>
    <row r="85" spans="5:5">
      <c r="E85" s="3"/>
    </row>
    <row r="86" spans="5:5">
      <c r="E86" s="3"/>
    </row>
    <row r="87" spans="5:5">
      <c r="E87" s="3"/>
    </row>
    <row r="88" spans="5:5">
      <c r="E88" s="3"/>
    </row>
    <row r="89" spans="5:5">
      <c r="E89" s="3"/>
    </row>
    <row r="90" spans="5:5">
      <c r="E90" s="3"/>
    </row>
    <row r="91" spans="5:5">
      <c r="E91" s="3"/>
    </row>
    <row r="92" spans="5:5">
      <c r="E92" s="3"/>
    </row>
    <row r="93" spans="5:5">
      <c r="E93" s="3"/>
    </row>
    <row r="94" spans="5:5">
      <c r="E94" s="3"/>
    </row>
    <row r="95" spans="5:5">
      <c r="E95" s="3"/>
    </row>
    <row r="96" spans="5:5">
      <c r="E96" s="3"/>
    </row>
    <row r="97" spans="5:5">
      <c r="E97" s="3"/>
    </row>
    <row r="98" spans="5:5">
      <c r="E98" s="3"/>
    </row>
    <row r="99" spans="5:5">
      <c r="E99" s="3"/>
    </row>
    <row r="100" spans="5:5">
      <c r="E100" s="3"/>
    </row>
    <row r="101" spans="5:5">
      <c r="E101" s="3"/>
    </row>
    <row r="102" spans="5:5">
      <c r="E102" s="3"/>
    </row>
    <row r="103" spans="5:5">
      <c r="E103" s="3"/>
    </row>
    <row r="104" spans="5:5">
      <c r="E104" s="3"/>
    </row>
    <row r="105" spans="5:5">
      <c r="E105" s="3"/>
    </row>
    <row r="106" spans="5:5">
      <c r="E106" s="3"/>
    </row>
    <row r="107" spans="5:5">
      <c r="E107" s="3"/>
    </row>
    <row r="108" spans="5:5">
      <c r="E108" s="3"/>
    </row>
    <row r="109" spans="5:5">
      <c r="E109" s="3"/>
    </row>
    <row r="110" spans="5:5">
      <c r="E110" s="3"/>
    </row>
    <row r="111" spans="5:5">
      <c r="E111" s="3"/>
    </row>
    <row r="112" spans="5:5">
      <c r="E112" s="3"/>
    </row>
    <row r="113" spans="5:5">
      <c r="E113" s="3"/>
    </row>
    <row r="114" spans="5:5">
      <c r="E114" s="3"/>
    </row>
    <row r="115" spans="5:5">
      <c r="E115" s="3"/>
    </row>
    <row r="116" spans="5:5">
      <c r="E116" s="3"/>
    </row>
    <row r="117" spans="5:5">
      <c r="E117" s="3"/>
    </row>
    <row r="118" spans="5:5">
      <c r="E118" s="3"/>
    </row>
    <row r="119" spans="5:5">
      <c r="E119" s="3"/>
    </row>
    <row r="120" spans="5:5">
      <c r="E120" s="3"/>
    </row>
    <row r="121" spans="5:5">
      <c r="E121" s="3"/>
    </row>
    <row r="122" spans="5:5">
      <c r="E122" s="3"/>
    </row>
    <row r="123" spans="5:5">
      <c r="E123" s="3"/>
    </row>
    <row r="124" spans="5:5">
      <c r="E124" s="3"/>
    </row>
    <row r="125" spans="5:5">
      <c r="E125" s="3"/>
    </row>
    <row r="126" spans="5:5">
      <c r="E126" s="3"/>
    </row>
    <row r="127" spans="5:5">
      <c r="E127" s="3"/>
    </row>
    <row r="128" spans="5:5">
      <c r="E128" s="3"/>
    </row>
    <row r="129" spans="5:5">
      <c r="E129" s="3"/>
    </row>
    <row r="130" spans="5:5">
      <c r="E130" s="3"/>
    </row>
    <row r="131" spans="5:5">
      <c r="E131" s="3"/>
    </row>
    <row r="132" spans="5:5">
      <c r="E132" s="3"/>
    </row>
    <row r="133" spans="5:5">
      <c r="E133" s="3"/>
    </row>
    <row r="134" spans="5:5">
      <c r="E134" s="3"/>
    </row>
    <row r="135" spans="5:5">
      <c r="E135" s="3"/>
    </row>
    <row r="136" spans="5:5">
      <c r="E136" s="3"/>
    </row>
    <row r="137" spans="5:5">
      <c r="E137" s="3"/>
    </row>
    <row r="138" spans="5:5">
      <c r="E138" s="3"/>
    </row>
    <row r="139" spans="5:5">
      <c r="E139" s="3"/>
    </row>
    <row r="140" spans="5:5">
      <c r="E140" s="3"/>
    </row>
    <row r="141" spans="5:5">
      <c r="E141" s="3"/>
    </row>
    <row r="142" spans="5:5">
      <c r="E142" s="3"/>
    </row>
    <row r="143" spans="5:5">
      <c r="E143" s="3"/>
    </row>
    <row r="144" spans="5:5">
      <c r="E144" s="3"/>
    </row>
    <row r="145" spans="5:5">
      <c r="E145" s="3"/>
    </row>
    <row r="146" spans="5:5">
      <c r="E146" s="3"/>
    </row>
    <row r="147" spans="5:5">
      <c r="E147" s="3"/>
    </row>
    <row r="148" spans="5:5">
      <c r="E148" s="3"/>
    </row>
    <row r="149" spans="5:5">
      <c r="E149" s="3"/>
    </row>
    <row r="150" spans="5:5">
      <c r="E150" s="3"/>
    </row>
    <row r="151" spans="5:5">
      <c r="E151" s="3"/>
    </row>
    <row r="152" spans="5:5">
      <c r="E152" s="3"/>
    </row>
    <row r="153" spans="5:5">
      <c r="E153" s="3"/>
    </row>
    <row r="154" spans="5:5">
      <c r="E154" s="3"/>
    </row>
    <row r="155" spans="5:5">
      <c r="E155" s="3"/>
    </row>
    <row r="156" spans="5:5">
      <c r="E156" s="3"/>
    </row>
    <row r="157" spans="5:5">
      <c r="E157" s="3"/>
    </row>
    <row r="158" spans="5:5">
      <c r="E158" s="3"/>
    </row>
  </sheetData>
  <sheetProtection selectLockedCells="1" selectUnlockedCells="1"/>
  <mergeCells count="16">
    <mergeCell ref="A4:H4"/>
    <mergeCell ref="A2:M2"/>
    <mergeCell ref="A9:E9"/>
    <mergeCell ref="A1:M1"/>
    <mergeCell ref="I3:K3"/>
    <mergeCell ref="L3:M3"/>
    <mergeCell ref="I4:K4"/>
    <mergeCell ref="L4:M4"/>
    <mergeCell ref="I5:K5"/>
    <mergeCell ref="L5:M5"/>
    <mergeCell ref="I6:K6"/>
    <mergeCell ref="L6:M6"/>
    <mergeCell ref="I7:K7"/>
    <mergeCell ref="L7:M7"/>
    <mergeCell ref="I8:K8"/>
    <mergeCell ref="L8:M8"/>
  </mergeCells>
  <pageMargins left="0.52013888888888893" right="0.40972222222222221" top="0.33" bottom="0.44" header="0.3" footer="0.39"/>
  <pageSetup paperSize="9" scale="64" firstPageNumber="0" fitToHeight="0" orientation="landscape" horizontalDpi="360" verticalDpi="36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6</vt:i4>
      </vt:variant>
    </vt:vector>
  </HeadingPairs>
  <TitlesOfParts>
    <vt:vector size="11" baseType="lpstr">
      <vt:lpstr>DADOS</vt:lpstr>
      <vt:lpstr>BDI</vt:lpstr>
      <vt:lpstr>P. O.</vt:lpstr>
      <vt:lpstr>CÁLCULO</vt:lpstr>
      <vt:lpstr>CRONO. F-F</vt:lpstr>
      <vt:lpstr>BDI!Area_de_impressao</vt:lpstr>
      <vt:lpstr>CÁLCULO!Area_de_impressao</vt:lpstr>
      <vt:lpstr>'CRONO. F-F'!Area_de_impressao</vt:lpstr>
      <vt:lpstr>'P. O.'!Area_de_impressao</vt:lpstr>
      <vt:lpstr>CÁLCULO!Titulos_de_impressao</vt:lpstr>
      <vt:lpstr>'P. O.'!Titulos_de_impressao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Engenharia</dc:creator>
  <cp:lastModifiedBy>User</cp:lastModifiedBy>
  <cp:lastPrinted>2024-07-04T13:25:10Z</cp:lastPrinted>
  <dcterms:created xsi:type="dcterms:W3CDTF">2020-05-28T20:46:40Z</dcterms:created>
  <dcterms:modified xsi:type="dcterms:W3CDTF">2024-09-16T20:06:57Z</dcterms:modified>
</cp:coreProperties>
</file>